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505" firstSheet="2"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<sst xmlns="http://schemas.openxmlformats.org/spreadsheetml/2006/main" count="3845" uniqueCount="3032">
  <si>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</si>
  <si>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</si>
  <si>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</si>
  <si>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</si>
  <si>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</si>
  <si>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</si>
  <si>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</si>
  <si>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</si>
  <si>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</si>
  <si>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</si>
  <si>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</si>
  <si>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</si>
  <si>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</si>
  <si>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</si>
  <si>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</si>
  <si>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</si>
  <si>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</si>
  <si>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</si>
  <si>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</si>
  <si>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</si>
  <si>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</si>
  <si>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</si>
  <si>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</si>
  <si>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</si>
  <si>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</si>
  <si>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</si>
  <si>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</si>
  <si>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</si>
  <si>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</si>
  <si>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</si>
  <si>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</si>
  <si>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</si>
  <si>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</si>
  <si>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</si>
  <si>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</si>
  <si>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</si>
  <si>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</si>
  <si>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</si>
  <si>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</si>
  <si>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</si>
  <si>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</si>
  <si>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</si>
  <si>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</si>
  <si>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</si>
  <si>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</si>
  <si>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</si>
  <si>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</si>
  <si>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</si>
  <si>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</si>
  <si>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</si>
  <si>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</si>
  <si>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</si>
  <si>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</si>
  <si>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</si>
  <si>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</si>
  <si>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</si>
  <si>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</si>
  <si>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</si>
  <si>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</si>
  <si>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</si>
  <si>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</si>
  <si>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</si>
  <si>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</si>
  <si>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</si>
  <si>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</si>
  <si>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</si>
  <si>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</si>
  <si>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</si>
  <si>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</si>
  <si>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</si>
  <si>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</si>
  <si>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</si>
  <si>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</si>
  <si>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</si>
  <si>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</si>
  <si>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</si>
  <si>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</si>
  <si>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</si>
  <si>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</si>
  <si>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</si>
  <si>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</si>
  <si>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</si>
  <si>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</si>
  <si>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</si>
  <si>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</si>
  <si>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</si>
  <si>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</si>
  <si>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</si>
  <si>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</si>
  <si>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</si>
  <si>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</si>
  <si>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</si>
  <si>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</si>
  <si>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</si>
  <si>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</si>
  <si>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</si>
  <si>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</si>
  <si>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</si>
  <si>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</si>
  <si>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</si>
  <si>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</si>
  <si>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</si>
  <si>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</si>
  <si>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</si>
  <si>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</si>
  <si>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</si>
  <si>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</si>
  <si>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</si>
  <si>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</si>
  <si>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</si>
  <si>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</si>
  <si>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</si>
  <si>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</si>
  <si>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</si>
  <si>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</si>
  <si>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</si>
  <si>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</si>
  <si>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</si>
  <si>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</si>
  <si>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</si>
  <si>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</si>
  <si>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</si>
  <si>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</si>
  <si>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</si>
  <si>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</si>
  <si>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</si>
  <si>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</si>
  <si>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</si>
  <si>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</si>
  <si>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</si>
  <si>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</si>
  <si>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</si>
  <si>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</si>
  <si>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</si>
  <si>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</si>
  <si>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</si>
  <si>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</si>
  <si>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</si>
  <si>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</si>
  <si>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</si>
  <si>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</si>
  <si>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</si>
  <si>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</si>
  <si>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</si>
  <si>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</si>
  <si>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</si>
  <si>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</si>
  <si>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</si>
  <si>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</si>
  <si>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</si>
  <si>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</si>
  <si>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</si>
  <si>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</si>
  <si>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</si>
  <si>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</si>
  <si>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</si>
  <si>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</si>
  <si>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</si>
  <si>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</si>
  <si>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</si>
  <si>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</si>
  <si>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</si>
  <si>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</si>
  <si>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</si>
  <si>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</si>
  <si>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</si>
  <si>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</si>
  <si>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</si>
  <si>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</si>
  <si>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</si>
  <si>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</si>
  <si>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</si>
  <si>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</si>
  <si>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</si>
  <si>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</si>
  <si>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</si>
  <si>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</si>
  <si>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</si>
  <si>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</si>
  <si>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</si>
  <si>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</si>
  <si>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</si>
  <si>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</si>
  <si>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</si>
  <si>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</si>
  <si>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</si>
  <si>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</si>
  <si>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</si>
  <si>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</si>
  <si>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</si>
  <si>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</si>
  <si>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</si>
  <si>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</si>
  <si>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</si>
  <si>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</si>
  <si>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</si>
  <si>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</si>
  <si>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</si>
  <si>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</si>
  <si>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</si>
  <si>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</si>
  <si>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</si>
  <si>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</si>
  <si>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</si>
  <si>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</si>
  <si>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</si>
  <si>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</si>
  <si>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</si>
  <si>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</si>
  <si>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</si>
  <si>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</si>
  <si>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</si>
  <si>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</si>
  <si>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</si>
  <si>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</si>
  <si>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</si>
  <si>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</si>
  <si>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</si>
  <si>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</si>
  <si>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</si>
  <si>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</si>
  <si>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</si>
  <si>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</si>
  <si>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</si>
  <si>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</si>
  <si>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</si>
  <si>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</si>
  <si>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</si>
  <si>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</si>
  <si>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</si>
  <si>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</si>
  <si>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</si>
  <si>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</si>
  <si>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</si>
  <si>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</si>
  <si>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</si>
  <si>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</si>
  <si>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</si>
  <si>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</si>
  <si>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</si>
  <si>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</si>
  <si>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</si>
  <si>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</si>
  <si>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</si>
  <si>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</si>
  <si>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</si>
  <si>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</si>
  <si>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</si>
  <si>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</si>
  <si>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</si>
  <si>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</si>
  <si>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</si>
  <si>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</si>
  <si>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</si>
  <si>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</si>
  <si>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</si>
  <si>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</si>
  <si>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</si>
  <si>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</si>
  <si>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</si>
  <si>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</si>
  <si>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</si>
  <si>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</si>
  <si>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</si>
  <si>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</si>
  <si>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</si>
  <si>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</si>
  <si>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</si>
  <si>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</si>
  <si>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</si>
  <si>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</si>
  <si>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</si>
  <si>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</si>
  <si>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</si>
  <si>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</si>
  <si>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</si>
  <si>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</si>
  <si>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</si>
  <si>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</si>
  <si>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</si>
  <si>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</si>
  <si>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</si>
  <si>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</si>
  <si>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</si>
  <si>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</si>
  <si>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</si>
  <si>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</si>
  <si>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</si>
  <si>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</si>
  <si>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</si>
  <si>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</si>
  <si>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</si>
  <si>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</si>
  <si>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</si>
  <si>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</si>
  <si>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</si>
  <si>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</si>
  <si>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</si>
  <si>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</si>
  <si>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</si>
  <si>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</si>
  <si>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</si>
  <si>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</si>
  <si>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</si>
  <si>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</si>
  <si>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</si>
  <si>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</si>
  <si>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</si>
  <si>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</si>
  <si>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</si>
  <si>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</si>
  <si>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</si>
  <si>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</si>
  <si>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</si>
  <si>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</si>
  <si>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</si>
  <si>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</si>
  <si>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</si>
  <si>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</si>
  <si>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</si>
  <si>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</si>
  <si>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</si>
  <si>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</si>
  <si>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</si>
  <si>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</si>
  <si>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</si>
  <si>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</si>
  <si>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</si>
  <si>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</si>
  <si>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</si>
  <si>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</si>
  <si>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</si>
  <si>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</si>
  <si>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</si>
  <si>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</si>
  <si>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</si>
  <si>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</si>
  <si>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</si>
  <si>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</si>
  <si>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</si>
  <si>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</si>
  <si>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</si>
  <si>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</si>
  <si>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</si>
  <si>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</si>
  <si>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</si>
  <si>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</si>
  <si>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</si>
  <si>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</si>
  <si>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</si>
  <si>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</si>
  <si>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</si>
  <si>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</si>
  <si>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</si>
  <si>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</si>
  <si>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</si>
  <si>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</si>
  <si>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</si>
  <si>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</si>
  <si>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</si>
  <si>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</si>
  <si>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</si>
  <si>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</si>
  <si>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</si>
  <si>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</si>
  <si>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</si>
  <si>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</si>
  <si>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</si>
  <si>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</si>
  <si>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</si>
  <si>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</si>
  <si>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</si>
  <si>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</si>
  <si>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</si>
  <si>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</si>
  <si>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</si>
  <si>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</si>
  <si>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</si>
  <si>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</si>
  <si>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</si>
  <si>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</si>
  <si>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</si>
  <si>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</si>
  <si>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</si>
  <si>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</si>
  <si>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</si>
  <si>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</si>
  <si>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</si>
  <si>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</si>
  <si>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</si>
  <si>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</si>
  <si>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</si>
  <si>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</si>
  <si>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</si>
  <si>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</si>
  <si>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</si>
  <si>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</si>
  <si>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</si>
  <si>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</si>
  <si>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</si>
  <si>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</si>
  <si>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</si>
  <si>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</si>
  <si>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</si>
  <si>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</si>
  <si>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</si>
  <si>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</si>
  <si>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</si>
  <si>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</si>
  <si>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</si>
  <si>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</si>
  <si>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</si>
  <si>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</si>
  <si>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</si>
  <si>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</si>
  <si>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</si>
  <si>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</si>
  <si>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</si>
  <si>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</si>
  <si>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</si>
  <si>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</si>
  <si>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</si>
  <si>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</si>
  <si>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</si>
  <si>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</si>
  <si>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</si>
  <si>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</si>
  <si>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</si>
  <si>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</si>
  <si>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</si>
  <si>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</si>
  <si>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</si>
  <si>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</si>
  <si>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</si>
  <si>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</si>
  <si>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</si>
  <si>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</si>
  <si>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</si>
  <si>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</si>
  <si>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</si>
  <si>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</si>
  <si>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</si>
  <si>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</si>
  <si>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</si>
  <si>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</si>
  <si>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</si>
  <si>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</si>
  <si>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</si>
  <si>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</si>
  <si>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</si>
  <si>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</si>
  <si>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</si>
  <si>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</si>
  <si>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</si>
  <si>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</si>
  <si>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</si>
  <si>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</si>
  <si>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</si>
  <si>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</si>
  <si>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</si>
  <si>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</si>
  <si>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</si>
  <si>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</si>
  <si>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</si>
  <si>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</si>
  <si>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</si>
  <si>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</si>
  <si>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</si>
  <si>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</si>
  <si>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</si>
  <si>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</si>
  <si>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</si>
  <si>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</si>
  <si>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</si>
  <si>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</si>
  <si>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</si>
  <si>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</si>
  <si>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</si>
  <si>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</si>
  <si>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</si>
  <si>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</si>
  <si>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</si>
  <si>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</si>
  <si>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</si>
  <si>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</si>
  <si>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</si>
  <si>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</si>
  <si>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</si>
  <si>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</si>
  <si>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</si>
  <si>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</si>
  <si>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</si>
  <si>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</si>
  <si>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</si>
  <si>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</si>
  <si>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</si>
  <si>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</si>
  <si>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</si>
  <si>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</si>
  <si>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</si>
  <si>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</si>
  <si>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</si>
  <si>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</si>
  <si>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</si>
  <si>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</si>
  <si>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</si>
  <si>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</si>
  <si>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</si>
  <si>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</si>
  <si>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</si>
  <si>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</si>
  <si>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</si>
  <si>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</si>
  <si>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</si>
  <si>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</si>
  <si>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</si>
  <si>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</si>
  <si>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</si>
  <si>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</si>
  <si>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</si>
  <si>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</si>
  <si>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</si>
  <si>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</si>
  <si>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</si>
  <si>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</si>
  <si>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</si>
  <si>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</si>
  <si>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</si>
  <si>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</si>
  <si>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</si>
  <si>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</si>
  <si>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</si>
  <si>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</si>
  <si>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</si>
  <si>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</si>
  <si>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</si>
  <si>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</si>
  <si>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</si>
  <si>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</si>
  <si>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</si>
  <si>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</si>
  <si>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</si>
  <si>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</si>
  <si>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</si>
  <si>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</si>
  <si>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</si>
  <si>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</si>
  <si>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</si>
  <si>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</si>
  <si>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</si>
  <si>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</si>
  <si>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</si>
  <si>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</si>
  <si>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</si>
  <si>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</si>
  <si>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</si>
  <si>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</si>
  <si>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</si>
  <si>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</si>
  <si>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</si>
  <si>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</si>
  <si>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</si>
  <si>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</si>
  <si>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</si>
  <si>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</si>
  <si>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</si>
  <si>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</si>
  <si>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</si>
  <si>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</si>
  <si>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</si>
  <si>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</si>
  <si>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</si>
  <si>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</si>
  <si>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</si>
  <si>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</si>
  <si>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</si>
  <si>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</si>
  <si>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</si>
  <si>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</si>
  <si>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</si>
  <si>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</si>
  <si>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</si>
  <si>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</si>
  <si>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</si>
  <si>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</si>
  <si>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</si>
  <si>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</si>
  <si>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</si>
  <si>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</si>
  <si>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</si>
  <si>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</si>
  <si>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</si>
  <si>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</si>
  <si>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</si>
  <si>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</si>
  <si>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</si>
  <si>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</si>
  <si>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</si>
  <si>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</si>
  <si>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</si>
  <si>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</si>
  <si>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</si>
  <si>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</si>
  <si>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</si>
  <si>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</si>
  <si>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</si>
  <si>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</si>
  <si>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</si>
  <si>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</si>
  <si>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</si>
  <si>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</si>
  <si>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</si>
  <si>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</si>
  <si>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</si>
  <si>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</si>
  <si>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</si>
  <si>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</si>
  <si>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</si>
  <si>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</si>
  <si>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</si>
  <si>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</si>
  <si>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</si>
  <si>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</si>
  <si>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</si>
  <si>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</si>
  <si>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</si>
  <si>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</si>
  <si>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</si>
  <si>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</si>
  <si>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</si>
  <si>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</si>
  <si>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</si>
  <si>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</si>
  <si>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</si>
  <si>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</si>
  <si>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</si>
  <si>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</si>
  <si>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</si>
  <si>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</si>
  <si>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</si>
  <si>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</si>
  <si>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</si>
  <si>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</si>
  <si>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</si>
  <si>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</si>
  <si>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</si>
  <si>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</si>
  <si>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</si>
  <si>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</si>
  <si>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</si>
  <si>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</si>
  <si>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</si>
  <si>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</si>
  <si>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</si>
  <si>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</si>
  <si>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</si>
  <si>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</si>
  <si>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</si>
  <si>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</si>
  <si>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</si>
  <si>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</si>
  <si>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</si>
  <si>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</si>
  <si>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</si>
  <si>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</si>
  <si>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</si>
  <si>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</si>
  <si>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</si>
  <si>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</si>
  <si>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</si>
  <si>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</si>
  <si>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</si>
  <si>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</si>
  <si>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</si>
  <si>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</si>
  <si>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</si>
  <si>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</si>
  <si>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</si>
  <si>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</si>
  <si>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</si>
  <si>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</si>
  <si>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</si>
  <si>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</si>
  <si>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</si>
  <si>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</si>
  <si>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</si>
  <si>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</si>
  <si>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</si>
  <si>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</si>
  <si>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</si>
  <si>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</si>
  <si>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</si>
  <si>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</si>
  <si>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</si>
  <si>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</si>
  <si>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</si>
  <si>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</si>
  <si>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</si>
  <si>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</si>
  <si>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</si>
  <si>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</si>
  <si>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</si>
  <si>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</si>
  <si>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</si>
  <si>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</si>
  <si>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</si>
  <si>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</si>
  <si>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</si>
  <si>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</si>
  <si>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</si>
  <si>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</si>
  <si>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</si>
  <si>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</si>
  <si>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</si>
  <si>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</si>
  <si>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</si>
  <si>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</si>
  <si>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</si>
  <si>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</si>
  <si>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</si>
  <si>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</si>
  <si>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</si>
  <si>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</si>
  <si>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</si>
  <si>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</si>
  <si>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</si>
  <si>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</si>
  <si>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</si>
  <si>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</si>
  <si>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</si>
  <si>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</si>
  <si>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</si>
  <si>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</si>
  <si>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</si>
  <si>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</si>
  <si>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</si>
  <si>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</si>
  <si>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</si>
  <si>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</si>
  <si>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</si>
  <si>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</si>
  <si>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</si>
  <si>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</si>
  <si>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</si>
  <si>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</si>
  <si>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</si>
  <si>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</si>
  <si>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</si>
  <si>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</si>
  <si>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</si>
  <si>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</si>
  <si>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</si>
  <si>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</si>
  <si>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</si>
  <si>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</si>
  <si>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</si>
  <si>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</si>
  <si>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</si>
  <si>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</si>
  <si>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</si>
  <si>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</si>
  <si>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</si>
  <si>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</si>
  <si>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</si>
  <si>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</si>
  <si>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</si>
  <si>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</si>
  <si>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</si>
  <si>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</si>
  <si>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</si>
  <si>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</si>
  <si>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</si>
  <si>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</si>
  <si>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</si>
  <si>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</si>
  <si>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</si>
  <si>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</si>
  <si>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</si>
  <si>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</si>
  <si>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</si>
  <si>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</si>
  <si>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</si>
  <si>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</si>
  <si>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</si>
  <si>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</si>
  <si>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</si>
  <si>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</si>
  <si>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</si>
  <si>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</si>
  <si>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</si>
  <si>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</si>
  <si>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</si>
  <si>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</si>
  <si>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</si>
  <si>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</si>
  <si>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</si>
  <si>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</si>
  <si>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</si>
  <si>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</si>
  <si>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</si>
  <si>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</si>
  <si>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</si>
  <si>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</si>
  <si>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</si>
  <si>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</si>
  <si>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</si>
  <si>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</si>
  <si>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</si>
  <si>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</si>
  <si>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</si>
  <si>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</si>
  <si>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</si>
  <si>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</si>
  <si>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</si>
  <si>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</si>
  <si>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</si>
  <si>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</si>
  <si>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</si>
  <si>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</si>
  <si>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</si>
  <si>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</si>
  <si>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</si>
  <si>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</si>
  <si>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</si>
  <si>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</si>
  <si>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</si>
  <si>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</si>
  <si>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</si>
  <si>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</si>
  <si>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</si>
  <si>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</si>
  <si>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</si>
  <si>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</si>
  <si>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</si>
  <si>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</si>
  <si>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</si>
  <si>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</si>
  <si>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</si>
  <si>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</si>
  <si>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</si>
  <si>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</si>
  <si>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</si>
  <si>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</si>
  <si>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</si>
  <si>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</si>
  <si>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</si>
  <si>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</si>
  <si>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</si>
  <si>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</si>
  <si>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</si>
  <si>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</si>
  <si>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</si>
  <si>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</si>
  <si>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</si>
  <si>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</si>
  <si>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</si>
  <si>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</si>
  <si>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</si>
  <si>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</si>
  <si>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</si>
  <si>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</si>
  <si>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</si>
  <si>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</si>
  <si>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</si>
  <si>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</si>
  <si>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</si>
  <si>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</si>
  <si>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</si>
  <si>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</si>
  <si>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</si>
  <si>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</si>
  <si>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</si>
  <si>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</si>
  <si>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</si>
  <si>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</si>
  <si>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</si>
  <si>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</si>
  <si>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</si>
  <si>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</si>
  <si>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</si>
  <si>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</si>
  <si>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</si>
  <si>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</si>
  <si>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</si>
  <si>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</si>
  <si>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</si>
  <si>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</si>
  <si>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</si>
  <si>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</si>
  <si>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</si>
  <si>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</si>
  <si>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</si>
  <si>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</si>
  <si>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</si>
  <si>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</si>
  <si>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</si>
  <si>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</si>
  <si>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</si>
  <si>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</si>
  <si>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</si>
  <si>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</si>
  <si>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</si>
  <si>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</si>
  <si>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</si>
  <si>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</si>
  <si>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</si>
  <si>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</si>
  <si>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</si>
  <si>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</si>
  <si>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</si>
  <si>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</si>
  <si>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</si>
  <si>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</si>
  <si>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</si>
  <si>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</si>
  <si>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</si>
  <si>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</si>
  <si>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</si>
  <si>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</si>
  <si>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</si>
  <si>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</si>
  <si>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</si>
  <si>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</si>
  <si>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</si>
  <si>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</si>
  <si>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</si>
  <si>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</si>
  <si>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</si>
  <si>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</si>
  <si>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</si>
  <si>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</si>
  <si>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</si>
  <si>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</si>
  <si>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</si>
  <si>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</si>
  <si>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</si>
  <si>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</si>
  <si>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</si>
  <si>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</si>
  <si>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</si>
  <si>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</si>
  <si>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</si>
  <si>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</si>
  <si>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</si>
  <si>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</si>
  <si>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</si>
  <si>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</si>
  <si>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</si>
  <si>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</si>
  <si>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</si>
  <si>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</si>
  <si>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</si>
  <si>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</si>
  <si>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</si>
  <si>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</si>
  <si>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</si>
  <si>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</si>
  <si>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</si>
  <si>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</si>
  <si>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</si>
  <si>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</si>
  <si>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</si>
  <si>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</si>
  <si>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</si>
  <si>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</si>
  <si>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</si>
  <si>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</si>
  <si>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</si>
  <si>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</si>
  <si>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</si>
  <si>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</si>
  <si>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</si>
  <si>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</si>
  <si>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</si>
  <si>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</si>
  <si>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</si>
  <si>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</si>
  <si>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</si>
  <si>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</si>
  <si>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</si>
  <si>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</si>
  <si>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</si>
  <si>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</si>
  <si>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</si>
  <si>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</si>
  <si>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</si>
  <si>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</si>
  <si>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</si>
  <si>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</si>
  <si>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</si>
  <si>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</si>
  <si>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</si>
  <si>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</si>
  <si>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</si>
  <si>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</si>
  <si>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</si>
  <si>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</si>
  <si>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</si>
  <si>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</si>
  <si>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</si>
  <si>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</si>
  <si>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</si>
  <si>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</si>
  <si>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</si>
  <si>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</si>
  <si>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</si>
  <si>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</si>
  <si>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</si>
  <si>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</si>
  <si>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</si>
  <si>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</si>
  <si>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</si>
  <si>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</si>
  <si>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</si>
  <si>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</si>
  <si>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</si>
  <si>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</si>
  <si>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</si>
  <si>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</si>
  <si>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</si>
  <si>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</si>
  <si>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</si>
  <si>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</si>
  <si>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</si>
  <si>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</si>
  <si>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</si>
  <si>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</si>
  <si>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</si>
  <si>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</si>
  <si>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</si>
  <si>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</si>
  <si>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</si>
  <si>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</si>
  <si>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</si>
  <si>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</si>
  <si>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</si>
  <si>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</si>
  <si>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</si>
  <si>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</si>
  <si>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</si>
  <si>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</si>
  <si>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</si>
  <si>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</si>
  <si>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</si>
  <si>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</si>
  <si>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</si>
  <si>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</si>
  <si>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</si>
  <si>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</si>
  <si>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</si>
  <si>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</si>
  <si>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</si>
  <si>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</si>
  <si>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</si>
  <si>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</si>
  <si>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</si>
  <si>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</si>
  <si>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</si>
  <si>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</si>
  <si>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</si>
  <si>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</si>
  <si>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</si>
  <si>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</si>
  <si>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</si>
  <si>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</si>
  <si>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</si>
  <si>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</si>
  <si>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</si>
  <si>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</si>
  <si>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</si>
  <si>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</si>
  <si>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</si>
  <si>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</si>
  <si>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</si>
  <si>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</si>
  <si>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</si>
  <si>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</si>
  <si>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</si>
  <si>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</si>
  <si>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</si>
  <si>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</si>
  <si>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</si>
  <si>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</si>
  <si>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</si>
  <si>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</si>
  <si>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</si>
  <si>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</si>
  <si>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</si>
  <si>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</si>
  <si>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</si>
  <si>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</si>
  <si>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</si>
  <si>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</si>
  <si>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</si>
  <si>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</si>
  <si>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</si>
  <si>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</si>
  <si>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</si>
  <si>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</si>
  <si>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</si>
  <si>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</si>
  <si>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</si>
  <si>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</si>
  <si>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</si>
  <si>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</si>
  <si>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</si>
  <si>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</si>
  <si>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</si>
  <si>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</si>
  <si>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</si>
  <si>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</si>
  <si>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</si>
  <si>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</si>
  <si>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</si>
  <si>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</si>
  <si>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</si>
  <si>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</si>
  <si>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</si>
  <si>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</si>
  <si>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</si>
  <si>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</si>
  <si>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</si>
  <si>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</si>
  <si>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</si>
  <si>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</si>
  <si>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</si>
  <si>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</si>
  <si>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</si>
  <si>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</si>
  <si>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</si>
  <si>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</si>
  <si>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</si>
  <si>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</si>
  <si>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</si>
  <si>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</si>
  <si>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</si>
  <si>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</si>
  <si>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</si>
  <si>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</si>
  <si>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</si>
  <si>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</si>
  <si>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</si>
  <si>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</si>
  <si>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</si>
  <si>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</si>
  <si>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</si>
  <si>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</si>
  <si>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</si>
  <si>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</si>
  <si>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</si>
  <si>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</si>
  <si>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</si>
  <si>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</si>
  <si>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</si>
  <si>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</si>
  <si>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</si>
  <si>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</si>
  <si>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</si>
  <si>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</si>
  <si>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</si>
  <si>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</si>
  <si>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</si>
  <si>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</si>
  <si>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</si>
  <si>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</si>
  <si>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</si>
  <si>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</si>
  <si>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</si>
  <si>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</si>
  <si>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</si>
  <si>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</si>
  <si>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</si>
  <si>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</si>
  <si>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</si>
  <si>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</si>
  <si>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</si>
  <si>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</si>
  <si>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</si>
  <si>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</si>
  <si>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</si>
  <si>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</si>
  <si>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</si>
  <si>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</si>
  <si>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</si>
  <si>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</si>
  <si>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</si>
  <si>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</si>
  <si>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</si>
  <si>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</si>
  <si>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</si>
  <si>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</si>
  <si>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</si>
  <si>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</si>
  <si>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</si>
  <si>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</si>
  <si>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</si>
  <si>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</si>
  <si>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</si>
  <si>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</si>
  <si>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</si>
  <si>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</si>
  <si>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</si>
  <si>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</si>
  <si>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</si>
  <si>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</si>
  <si>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</si>
  <si>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</si>
  <si>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</si>
  <si>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</si>
  <si>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</si>
  <si>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</si>
  <si>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</si>
  <si>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</si>
  <si>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</si>
  <si>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</si>
  <si>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</si>
  <si>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</si>
  <si>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</si>
  <si>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</si>
  <si>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</si>
  <si>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</si>
  <si>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</si>
  <si>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</si>
  <si>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</si>
  <si>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</si>
  <si>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</si>
  <si>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</si>
  <si>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</si>
  <si>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</si>
  <si>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</si>
  <si>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</si>
  <si>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</si>
  <si>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</si>
  <si>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</si>
  <si>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</si>
  <si>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</si>
  <si>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</si>
  <si>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</si>
  <si>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</si>
  <si>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</si>
  <si>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</si>
  <si>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</si>
  <si>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</si>
  <si>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</si>
  <si>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</si>
  <si>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</si>
  <si>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</si>
  <si>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</si>
  <si>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</si>
  <si>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</si>
  <si>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</si>
  <si>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</si>
  <si>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</si>
  <si>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</si>
  <si>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</si>
  <si>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</si>
  <si>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</si>
  <si>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</si>
  <si>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</si>
  <si>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</si>
  <si>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</si>
  <si>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</si>
  <si>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</si>
  <si>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</si>
  <si>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</si>
  <si>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</si>
  <si>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</si>
  <si>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</si>
  <si>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</si>
  <si>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</si>
  <si>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</si>
  <si>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</si>
  <si>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</si>
  <si>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</si>
  <si>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</si>
  <si>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</si>
  <si>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</si>
  <si>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</si>
  <si>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</si>
  <si>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</si>
  <si>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</si>
  <si>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</si>
  <si>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</si>
  <si>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</si>
  <si>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</si>
  <si>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</si>
  <si>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</si>
  <si>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</si>
  <si>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</si>
  <si>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</si>
  <si>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</si>
  <si>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</si>
  <si>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</si>
  <si>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</si>
  <si>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</si>
  <si>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</si>
  <si>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</si>
  <si>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</si>
  <si>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</si>
  <si>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</si>
  <si>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</si>
  <si>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</si>
  <si>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</si>
  <si>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</si>
  <si>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</si>
  <si>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</si>
  <si>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</si>
  <si>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</si>
  <si>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</si>
  <si>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</si>
  <si>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</si>
  <si>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</si>
  <si>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</si>
  <si>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</si>
  <si>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</si>
  <si>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</si>
  <si>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</si>
  <si>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</si>
  <si>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</si>
  <si>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</si>
  <si>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</si>
  <si>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</si>
  <si>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</si>
  <si>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</si>
  <si>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</si>
  <si>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</si>
  <si>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</si>
  <si>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</si>
  <si>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</si>
  <si>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</si>
  <si>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</si>
  <si>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</si>
  <si>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</si>
  <si>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</si>
  <si>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</si>
  <si>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</si>
  <si>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</si>
  <si>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</si>
  <si>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</si>
  <si>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</si>
  <si>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</si>
  <si>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</si>
  <si>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</si>
  <si>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</si>
  <si>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</si>
  <si>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</si>
  <si>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</si>
  <si>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</si>
  <si>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</si>
  <si>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</si>
  <si>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</si>
  <si>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</si>
  <si>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</si>
  <si>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</si>
  <si>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</si>
  <si>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</si>
  <si>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</si>
  <si>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</si>
  <si>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</si>
  <si>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</si>
  <si>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</si>
  <si>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</si>
  <si>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</si>
  <si>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</si>
  <si>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</si>
  <si>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</si>
  <si>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</si>
  <si>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</si>
  <si>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</si>
  <si>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</si>
  <si>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</si>
  <si>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</si>
  <si>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</si>
  <si>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</si>
  <si>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</si>
  <si>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</si>
  <si>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</si>
  <si>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</si>
  <si>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</si>
  <si>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</si>
  <si>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</si>
  <si>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</si>
  <si>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</si>
  <si>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</si>
  <si>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</si>
  <si>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</si>
  <si>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</si>
  <si>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</si>
  <si>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</si>
  <si>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</si>
  <si>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</si>
  <si>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</si>
  <si>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</si>
  <si>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</si>
  <si>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</si>
  <si>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</si>
  <si>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</si>
  <si>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</si>
  <si>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</si>
  <si>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</si>
  <si>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</si>
  <si>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</si>
  <si>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</si>
  <si>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</si>
  <si>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</si>
  <si>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</si>
  <si>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</si>
  <si>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</si>
  <si>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</si>
  <si>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</si>
  <si>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</si>
  <si>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</si>
  <si>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</si>
  <si>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</si>
  <si>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</si>
  <si>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</si>
  <si>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</si>
  <si>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</si>
  <si>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</si>
  <si>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</si>
  <si>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</si>
  <si>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</si>
  <si>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</si>
  <si>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</si>
  <si>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</si>
  <si>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</si>
  <si>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</si>
  <si>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</si>
  <si>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</si>
  <si>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</si>
  <si>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</si>
  <si>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</si>
  <si>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</si>
  <si>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</si>
  <si>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</si>
  <si>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</si>
  <si>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</si>
  <si>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</si>
  <si>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</si>
  <si>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</si>
  <si>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</si>
  <si>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</si>
  <si>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</si>
  <si>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</si>
  <si>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</si>
  <si>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</si>
  <si>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</si>
  <si>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</si>
  <si>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</si>
  <si>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</si>
  <si>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</si>
  <si>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</si>
  <si>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</si>
  <si>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</si>
  <si>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</si>
  <si>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</si>
  <si>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</si>
  <si>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</si>
  <si>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</si>
  <si>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</si>
  <si>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</si>
  <si>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</si>
  <si>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</si>
  <si>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</si>
  <si>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</si>
  <si>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</si>
  <si>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</si>
  <si>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</si>
  <si>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</si>
  <si>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</si>
  <si>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</si>
  <si>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</si>
  <si>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</si>
  <si>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</si>
  <si>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</si>
  <si>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</si>
  <si>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</si>
  <si>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</si>
  <si>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</si>
  <si>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</si>
  <si>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</si>
  <si>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</si>
  <si>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</si>
  <si>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</si>
  <si>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</si>
  <si>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</si>
  <si>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</si>
  <si>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</si>
  <si>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</si>
  <si>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</si>
  <si>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</si>
  <si>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</si>
  <si>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</si>
  <si>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</si>
  <si>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</si>
  <si>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</si>
  <si>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</si>
  <si>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</si>
  <si>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</si>
  <si>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</si>
  <si>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</si>
  <si>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</si>
  <si>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</si>
  <si>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</si>
  <si>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</si>
  <si>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</si>
  <si>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</si>
  <si>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</si>
  <si>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</si>
  <si>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</si>
  <si>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</si>
  <si>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</si>
  <si>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</si>
  <si>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</si>
  <si>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</si>
  <si>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</si>
  <si>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</si>
  <si>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</si>
  <si>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</si>
  <si>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</si>
  <si>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</si>
  <si>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</si>
  <si>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</si>
  <si>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</si>
  <si>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</si>
  <si>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</si>
  <si>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</si>
  <si>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</si>
  <si>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</si>
  <si>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</si>
  <si>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</si>
  <si>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</si>
  <si>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</si>
  <si>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</si>
  <si>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</si>
  <si>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</si>
  <si>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</si>
  <si>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</si>
  <si>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</si>
  <si>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</si>
  <si>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</si>
  <si>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</si>
  <si>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</si>
  <si>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</si>
  <si>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</si>
  <si>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</si>
  <si>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</si>
  <si>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</si>
  <si>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</si>
  <si>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</si>
  <si>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</si>
  <si>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</si>
  <si>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</si>
  <si>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</si>
  <si>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</si>
  <si>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</si>
  <si>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</si>
  <si>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</si>
  <si>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</si>
  <si>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</si>
  <si>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</si>
  <si>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</si>
  <si>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</si>
  <si>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</si>
  <si>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</si>
  <si>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</si>
  <si>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</si>
  <si>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</si>
  <si>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</si>
  <si>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</si>
  <si>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</si>
  <si>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</si>
  <si>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</si>
  <si>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</si>
  <si>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</si>
  <si>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</si>
  <si>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</si>
  <si>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</si>
  <si>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</si>
  <si>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</si>
  <si>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</si>
  <si>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</si>
  <si>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</si>
  <si>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</si>
  <si>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</si>
  <si>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</si>
  <si>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</si>
  <si>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</si>
  <si>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</si>
  <si>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</si>
  <si>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</si>
  <si>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</si>
  <si>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</si>
  <si>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</si>
  <si>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</si>
  <si>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</si>
  <si>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</si>
  <si>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</si>
  <si>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</si>
  <si>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</si>
  <si>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</si>
  <si>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</si>
  <si>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</si>
  <si>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</si>
  <si>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</si>
  <si>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</si>
  <si>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</si>
  <si>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</si>
  <si>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</si>
  <si>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</si>
  <si>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</si>
  <si>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</si>
  <si>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</si>
  <si>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</si>
  <si>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</si>
  <si>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</si>
  <si>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</si>
  <si>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</si>
  <si>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</si>
  <si>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</si>
  <si>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</si>
  <si>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</si>
  <si>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</si>
  <si>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</si>
  <si>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</si>
  <si>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</si>
  <si>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</si>
  <si>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</si>
  <si>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</si>
  <si>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</si>
  <si>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</si>
  <si>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</si>
  <si>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</si>
  <si>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</si>
  <si>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</si>
  <si>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</si>
  <si>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</si>
  <si>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</si>
  <si>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</si>
  <si>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</si>
  <si>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</si>
  <si>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</si>
  <si>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</si>
  <si>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</si>
  <si>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</si>
  <si>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</si>
  <si>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</si>
  <si>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</si>
  <si>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</si>
  <si>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</si>
  <si>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</si>
  <si>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</si>
  <si>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</si>
  <si>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</si>
  <si>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</si>
  <si>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</si>
  <si>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</si>
  <si>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</si>
  <si>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</si>
  <si>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</si>
  <si>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</si>
  <si>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</si>
  <si>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</si>
  <si>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</si>
  <si>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</si>
  <si>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</si>
  <si>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</si>
  <si>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</si>
  <si>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</si>
  <si>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</si>
  <si>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</si>
  <si>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</si>
  <si>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</si>
  <si>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</si>
  <si>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</si>
  <si>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</si>
  <si>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</si>
  <si>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</si>
  <si>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</si>
  <si>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</si>
  <si>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</si>
  <si>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</si>
  <si>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</si>
  <si>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</si>
  <si>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</si>
  <si>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</si>
  <si>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</si>
  <si>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</si>
  <si>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</si>
  <si>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</si>
  <si>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</si>
  <si>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</si>
  <si>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</si>
  <si>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</si>
  <si>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</si>
  <si>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</si>
  <si>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</si>
  <si>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</si>
  <si>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</si>
  <si>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</si>
  <si>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</si>
  <si>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</si>
  <si>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</si>
  <si>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</si>
  <si>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</si>
  <si>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</si>
  <si>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</si>
  <si>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</si>
  <si>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</si>
  <si>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</si>
  <si>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</si>
  <si>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</si>
  <si>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</si>
  <si>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</si>
  <si>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</si>
  <si>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</si>
  <si>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</si>
  <si>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</si>
  <si>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</si>
  <si>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</si>
  <si>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</si>
  <si>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</si>
  <si>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</si>
  <si>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</si>
  <si>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</si>
  <si>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</si>
  <si>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</si>
  <si>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</si>
  <si>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</si>
  <si>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</si>
  <si>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</si>
  <si>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</si>
  <si>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</si>
  <si>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</si>
  <si>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</si>
  <si>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</si>
  <si>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</si>
  <si>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</si>
  <si>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</si>
  <si>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</si>
  <si>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</si>
  <si>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</si>
  <si>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</si>
  <si>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</si>
  <si>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</si>
  <si>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</si>
  <si>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</si>
  <si>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</si>
  <si>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</si>
  <si>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</si>
  <si>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</si>
  <si>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</si>
  <si>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</si>
  <si>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</si>
  <si>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</si>
  <si>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</si>
  <si>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</si>
  <si>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</si>
  <si>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</si>
  <si>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</si>
  <si>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</si>
  <si>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</si>
  <si>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</si>
  <si>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</si>
  <si>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</si>
  <si>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</si>
  <si>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</si>
  <si>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</si>
  <si>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</si>
  <si>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</si>
  <si>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</si>
  <si>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</si>
  <si>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</si>
  <si>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</si>
  <si>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</si>
  <si>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</si>
  <si>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</si>
  <si>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</si>
  <si>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</si>
  <si>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</si>
  <si>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</si>
  <si>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</si>
  <si>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</si>
  <si>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</si>
  <si>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</si>
  <si>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</si>
  <si>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</si>
  <si>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</si>
  <si>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</si>
  <si>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</si>
  <si>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</si>
  <si>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</si>
  <si>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</si>
  <si>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</si>
  <si>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</si>
  <si>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</si>
  <si>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</si>
  <si>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</si>
  <si>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</si>
  <si>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</si>
  <si>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</si>
  <si>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</si>
  <si>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</si>
  <si>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</si>
  <si>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</si>
  <si>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</si>
  <si>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</si>
  <si>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</si>
  <si>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</si>
  <si>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</si>
  <si>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</si>
  <si>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</si>
  <si>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</si>
  <si>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</si>
  <si>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</si>
  <si>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</si>
  <si>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</si>
  <si>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</si>
  <si>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</si>
  <si>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</si>
  <si>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</si>
  <si>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</si>
  <si>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</si>
  <si>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</si>
  <si>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</si>
  <si>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</si>
  <si>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</si>
  <si>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</si>
  <si>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</si>
  <si>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</si>
  <si>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</si>
  <si>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</si>
  <si>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</si>
  <si>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</si>
  <si>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</si>
  <si>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</si>
  <si>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</si>
  <si>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</si>
  <si>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</si>
  <si>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</si>
  <si>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</si>
  <si>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</si>
  <si>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</si>
  <si>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</si>
  <si>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</si>
  <si>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</si>
  <si>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</si>
  <si>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</si>
  <si>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</si>
  <si>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</si>
  <si>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</si>
  <si>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</si>
  <si>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</si>
  <si>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</si>
  <si>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</si>
  <si>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</si>
  <si>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</si>
  <si>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</si>
  <si>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</si>
  <si>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</si>
  <si>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</si>
  <si>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</si>
  <si>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</si>
  <si>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</si>
  <si>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</si>
  <si>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</si>
  <si>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</si>
  <si>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</si>
  <si>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</si>
  <si>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</si>
  <si>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</si>
  <si>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</si>
  <si>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</si>
  <si>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</si>
  <si>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</si>
  <si>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</si>
  <si>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</si>
  <si>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</si>
  <si>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</si>
  <si>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</si>
  <si>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</si>
  <si>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</si>
  <si>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</si>
  <si>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</si>
  <si>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</si>
  <si>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</si>
  <si>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</si>
  <si>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</si>
  <si>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</si>
  <si>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</si>
  <si>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</si>
  <si>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</si>
  <si>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</si>
  <si>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</si>
  <si>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</si>
  <si>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</si>
  <si>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</si>
  <si>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</si>
  <si>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</si>
  <si>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</si>
  <si>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</si>
  <si>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</si>
  <si>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</si>
  <si>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</si>
  <si>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</si>
  <si>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</si>
  <si>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</si>
  <si>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</si>
  <si>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</si>
  <si>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</si>
  <si>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</si>
  <si>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</si>
  <si>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</si>
  <si>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</si>
  <si>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</si>
  <si>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</si>
  <si>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</si>
  <si>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</si>
  <si>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</si>
  <si>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</si>
  <si>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</si>
  <si>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</si>
  <si>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</si>
  <si>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</si>
  <si>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</si>
  <si>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</si>
  <si>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</si>
  <si>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</si>
  <si>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</si>
  <si>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</si>
  <si>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</si>
  <si>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</si>
  <si>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</si>
  <si>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</si>
  <si>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</si>
  <si>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</si>
  <si>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</si>
  <si>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</si>
  <si>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</si>
  <si>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</si>
  <si>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</si>
  <si>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</si>
  <si>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</si>
  <si>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</si>
  <si>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</si>
  <si>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</si>
  <si>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</si>
  <si>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</si>
  <si>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</si>
  <si>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</si>
  <si>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</si>
  <si>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</si>
  <si>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</si>
  <si>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</si>
  <si>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</si>
  <si>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</si>
  <si>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</si>
  <si>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</si>
  <si>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</si>
  <si>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</si>
  <si>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</si>
  <si>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</si>
  <si>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</si>
  <si>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</si>
  <si>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</si>
  <si>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</si>
  <si>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</si>
  <si>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</si>
  <si>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</si>
  <si>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</si>
  <si>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</si>
  <si>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</si>
  <si>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</si>
  <si>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</si>
  <si>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</si>
  <si>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</si>
  <si>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</si>
  <si>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</si>
  <si>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</si>
  <si>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</si>
  <si>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</si>
  <si>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</si>
  <si>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</si>
  <si>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</si>
  <si>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</si>
  <si>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</si>
  <si>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</si>
  <si>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</si>
  <si>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</si>
  <si>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</si>
  <si>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</si>
  <si>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</si>
  <si>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</si>
  <si>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</si>
  <si>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</si>
  <si>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</si>
  <si>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</si>
  <si>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</si>
  <si>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</si>
  <si>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</si>
  <si>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</si>
  <si>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</si>
  <si>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</si>
  <si>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</si>
  <si>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</si>
  <si>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</si>
  <si>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</si>
  <si>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</si>
  <si>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</si>
  <si>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</si>
  <si>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</si>
  <si>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</si>
  <si>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</si>
  <si>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</si>
  <si>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</si>
  <si>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</si>
  <si>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</si>
  <si>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</si>
  <si>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</si>
  <si>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</si>
  <si>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</si>
  <si>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</si>
  <si>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</si>
  <si>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</si>
  <si>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</si>
  <si>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</si>
  <si>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</si>
  <si>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</si>
  <si>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</si>
  <si>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</si>
  <si>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</si>
  <si>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</si>
  <si>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</si>
  <si>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</si>
  <si>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</si>
  <si>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</si>
  <si>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</si>
  <si>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</si>
  <si>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</si>
  <si>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</si>
  <si>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</si>
  <si>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</si>
  <si>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</si>
  <si>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</si>
  <si>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</si>
  <si>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</si>
  <si>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</si>
  <si>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</si>
  <si>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</si>
  <si>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</si>
  <si>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</si>
  <si>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</si>
  <si>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</si>
  <si>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</si>
  <si>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</si>
  <si>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</si>
  <si>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</si>
  <si>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</si>
  <si>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</si>
  <si>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</si>
  <si>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</si>
  <si>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</si>
  <si>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</si>
  <si>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</si>
  <si>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</si>
  <si>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</si>
  <si>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</si>
  <si>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</si>
  <si>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</si>
  <si>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</si>
  <si>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</si>
  <si>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</si>
  <si>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</si>
  <si>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</si>
  <si>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</si>
  <si>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</si>
  <si>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</si>
  <si>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</si>
  <si>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</si>
  <si>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</si>
  <si>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</si>
  <si>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</si>
  <si>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</si>
  <si>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</si>
  <si>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</si>
  <si>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</si>
  <si>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</si>
  <si>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</si>
  <si>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</si>
  <si>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</si>
  <si>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</si>
  <si>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</si>
  <si>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</si>
  <si>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</si>
  <si>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</si>
  <si>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</si>
  <si>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</si>
  <si>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</si>
  <si>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</si>
  <si>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</si>
  <si>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</si>
  <si>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</si>
  <si>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</si>
  <si>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</si>
  <si>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</si>
  <si>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</si>
  <si>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</si>
  <si>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</si>
  <si>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</si>
  <si>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</si>
  <si>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</si>
  <si>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</si>
  <si>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</si>
  <si>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</si>
  <si>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</si>
  <si>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</si>
  <si>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</si>
  <si>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</si>
  <si>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</si>
  <si>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</si>
  <si>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</si>
  <si>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</si>
  <si>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</si>
  <si>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</si>
  <si>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</si>
  <si>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</si>
  <si>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</si>
  <si>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</si>
  <si>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</si>
  <si>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</si>
  <si>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</si>
  <si>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</si>
  <si>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</si>
  <si>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</si>
  <si>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</si>
  <si>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</si>
  <si>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</si>
  <si>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</si>
  <si>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</si>
  <si>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</si>
  <si>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</si>
  <si>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</si>
  <si>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</si>
  <si>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</si>
  <si>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</si>
  <si>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</si>
  <si>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</si>
  <si>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</si>
  <si>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</si>
  <si>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</si>
  <si>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</si>
  <si>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</si>
  <si>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</si>
  <si>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</si>
  <si>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</si>
  <si>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</si>
  <si>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</si>
  <si>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</si>
  <si>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</si>
  <si>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</si>
  <si>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</si>
  <si>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</si>
  <si>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</si>
  <si>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</si>
  <si>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</si>
  <si>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</si>
  <si>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</si>
  <si>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</si>
  <si>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</si>
  <si>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</si>
  <si>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</si>
  <si>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</si>
  <si>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</si>
  <si>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</si>
  <si>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</si>
  <si>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</si>
  <si>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</si>
  <si>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</si>
  <si>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</si>
  <si>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</si>
  <si>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</si>
  <si>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</si>
  <si>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</si>
  <si>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</si>
  <si>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</si>
  <si>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</si>
  <si>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</si>
  <si>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</si>
  <si>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</si>
  <si>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</si>
  <si>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</si>
  <si>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</si>
  <si>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</si>
  <si>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</si>
  <si>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</si>
  <si>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</si>
  <si>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</si>
  <si>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</si>
  <si>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</si>
  <si>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</si>
  <si>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</si>
  <si>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</si>
  <si>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</si>
  <si>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</si>
  <si>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</si>
  <si>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</si>
  <si>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</si>
  <si>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</si>
  <si>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</si>
  <si>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</si>
  <si>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</si>
  <si>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</si>
  <si>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</si>
  <si>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</si>
  <si>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</si>
  <si>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</si>
  <si>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</si>
  <si>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</si>
  <si>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</si>
  <si>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</si>
  <si>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</si>
  <si>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</si>
  <si>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</si>
  <si>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</si>
  <si>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</si>
  <si>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</si>
  <si>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</si>
  <si>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</si>
  <si>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</si>
  <si>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</si>
  <si>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</si>
  <si>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</si>
  <si>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</si>
  <si>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</si>
  <si>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</si>
  <si>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</si>
  <si>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</si>
  <si>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</si>
  <si>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</si>
  <si>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</si>
  <si>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</si>
  <si>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</si>
  <si>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</si>
  <si>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</si>
  <si>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</si>
  <si>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</si>
  <si>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</si>
  <si>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</si>
  <si>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</si>
  <si>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</si>
  <si>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</si>
  <si>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</si>
  <si>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</si>
  <si>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</si>
  <si>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</si>
  <si>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</si>
  <si>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</si>
  <si>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</si>
  <si>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</si>
  <si>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</si>
  <si>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</si>
  <si>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</si>
  <si>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</si>
  <si>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</si>
  <si>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</si>
  <si>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</si>
  <si>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</si>
  <si>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</si>
  <si>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</si>
  <si>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</si>
  <si>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</si>
  <si>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</si>
  <si>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</si>
  <si>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</si>
  <si>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</si>
  <si>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</si>
  <si>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</si>
  <si>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</si>
  <si>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</si>
  <si>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</si>
  <si>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</si>
  <si>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</si>
  <si>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</si>
  <si>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</si>
  <si>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</si>
  <si>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</si>
  <si>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</si>
  <si>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</si>
  <si>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</si>
  <si>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</si>
  <si>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</si>
  <si>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</si>
  <si>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</si>
  <si>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</si>
  <si>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</si>
  <si>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</si>
  <si>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</si>
  <si>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</si>
  <si>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</si>
  <si>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</si>
  <si>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</si>
  <si>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</si>
  <si>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</si>
  <si>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</si>
  <si>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</si>
  <si>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</si>
  <si>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</si>
  <si>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</si>
  <si>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</si>
  <si>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</si>
  <si>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</si>
  <si>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</si>
  <si>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</si>
  <si>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</si>
  <si>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</si>
  <si>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</si>
  <si>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</si>
  <si>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</si>
  <si>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</si>
  <si>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</si>
  <si>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</si>
  <si>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</si>
  <si>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</si>
  <si>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</si>
  <si>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</si>
  <si>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</si>
  <si>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</si>
  <si>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</si>
  <si>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</si>
  <si>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</si>
  <si>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</si>
  <si>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</si>
  <si>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</si>
  <si>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</si>
  <si>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</si>
  <si>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</si>
  <si>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</si>
  <si>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</si>
  <si>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</si>
  <si>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</si>
  <si>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</si>
  <si>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</si>
  <si>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</si>
  <si>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</si>
  <si>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</si>
  <si>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</si>
  <si>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</si>
  <si>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</si>
  <si>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</si>
  <si>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</si>
  <si>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</si>
  <si>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</si>
  <si>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</si>
  <si>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</si>
  <si>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</si>
  <si>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</si>
  <si>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</si>
  <si>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</si>
  <si>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</si>
  <si>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</si>
  <si>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</si>
  <si>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</si>
  <si>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</si>
  <si>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</si>
  <si>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</si>
  <si>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</si>
  <si>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</si>
  <si>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</si>
  <si>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</si>
  <si>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</si>
  <si>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</si>
  <si>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</si>
  <si>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</si>
  <si>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</si>
  <si>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</si>
  <si>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</si>
  <si>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</si>
  <si>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</si>
  <si>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</si>
  <si>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</si>
  <si>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</si>
  <si>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</si>
  <si>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</si>
  <si>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</si>
  <si>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</si>
  <si>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</si>
  <si>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</si>
  <si>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</si>
  <si>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</si>
  <si>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</si>
  <si>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</si>
  <si>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</si>
  <si>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</si>
  <si>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</si>
  <si>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</si>
  <si>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</si>
  <si>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</si>
  <si>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</si>
  <si>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</si>
  <si>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</si>
  <si>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</si>
  <si>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</si>
  <si>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</si>
  <si>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</si>
  <si>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</si>
  <si>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</si>
  <si>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</si>
  <si>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</si>
  <si>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</si>
  <si>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</si>
  <si>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</si>
  <si>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</si>
  <si>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</si>
  <si>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</si>
  <si>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</si>
  <si>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</si>
  <si>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</si>
  <si>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</si>
  <si>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</si>
  <si>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</si>
  <si>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</si>
  <si>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</si>
  <si>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</si>
  <si>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</si>
  <si>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</si>
  <si>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</si>
  <si>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</si>
  <si>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</si>
  <si>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</si>
  <si>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</si>
  <si>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</si>
  <si>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</si>
  <si>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</si>
  <si>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</si>
  <si>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</si>
  <si>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</si>
  <si>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</si>
  <si>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</si>
  <si>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</si>
  <si>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</si>
  <si>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</si>
  <si>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</si>
  <si>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</si>
  <si>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</si>
  <si>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</si>
  <si>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</si>
  <si>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</si>
  <si>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</si>
  <si>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</si>
  <si>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</si>
  <si>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</si>
  <si>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</si>
  <si>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</si>
  <si>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</si>
  <si>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</si>
  <si>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</si>
  <si>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</si>
  <si>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</si>
  <si>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</si>
  <si>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</si>
  <si>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</si>
  <si>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</si>
  <si>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</si>
  <si>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</si>
  <si>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</si>
  <si>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</si>
  <si>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</si>
  <si>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</si>
  <si>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</si>
  <si>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</si>
  <si>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</si>
  <si>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</si>
  <si>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</si>
  <si>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</si>
  <si>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</si>
  <si>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</si>
  <si>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</si>
  <si>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</si>
  <si>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</si>
  <si>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</si>
  <si>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</si>
  <si>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</si>
  <si>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</si>
  <si>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</si>
  <si>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</si>
  <si>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</si>
  <si>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</si>
  <si>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</si>
  <si>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</si>
  <si>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</si>
  <si>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</si>
  <si>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</si>
  <si>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</si>
  <si>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</si>
  <si>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</si>
  <si>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</si>
  <si>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</si>
  <si>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</si>
  <si>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</si>
  <si>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</si>
  <si>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</si>
  <si>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</si>
  <si>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</si>
  <si>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</si>
  <si>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</si>
  <si>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</si>
  <si>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</si>
  <si>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</si>
  <si>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</si>
  <si>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</si>
  <si>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</si>
  <si>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</si>
  <si>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</si>
  <si>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</si>
  <si>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</si>
  <si>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</si>
  <si>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</si>
  <si>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</si>
  <si>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</si>
  <si>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</si>
  <si>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</si>
  <si>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</si>
  <si>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</si>
  <si>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</si>
  <si>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</si>
  <si>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</si>
  <si>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</si>
  <si>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</si>
  <si>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</si>
  <si>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</si>
  <si>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</si>
  <si>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</si>
  <si>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</si>
  <si>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</si>
  <si>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</si>
  <si>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</si>
  <si>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</si>
  <si>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</si>
  <si>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</si>
  <si>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</si>
  <si>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</si>
  <si>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</si>
  <si>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</si>
  <si>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</si>
  <si>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</si>
  <si>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</si>
  <si>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</si>
  <si>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</si>
  <si>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</si>
  <si>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</si>
  <si>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</si>
  <si>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</si>
  <si>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</si>
  <si>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</si>
  <si>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</si>
  <si>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</si>
  <si>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</si>
  <si>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</si>
  <si>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</si>
  <si>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</si>
  <si>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</si>
  <si>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</si>
  <si>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</si>
  <si>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</si>
  <si>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</si>
  <si>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</si>
  <si>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</si>
  <si>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</si>
  <si>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</si>
  <si>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</si>
  <si>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</si>
  <si>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</si>
  <si>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</si>
  <si>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</si>
  <si>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</si>
  <si>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</si>
  <si>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</si>
  <si>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</si>
  <si>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</si>
  <si>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</si>
  <si>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</si>
  <si>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</si>
  <si>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</si>
  <si>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</si>
  <si>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</si>
  <si>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</si>
  <si>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</si>
  <si>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</si>
  <si>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</si>
  <si>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</si>
  <si>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</si>
  <si>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</si>
  <si>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</si>
  <si>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</si>
  <si>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</si>
  <si>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</si>
  <si>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</si>
  <si>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</si>
  <si>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</si>
  <si>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</si>
  <si>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</si>
  <si>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</si>
  <si>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</si>
  <si>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</si>
  <si>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</si>
  <si>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</si>
  <si>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</si>
  <si>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</si>
  <si>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</si>
  <si>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</si>
  <si>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</si>
  <si>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</si>
  <si>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</si>
  <si>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</si>
  <si>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</si>
  <si>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</si>
  <si>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</si>
  <si>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</si>
  <si>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</si>
  <si>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</si>
  <si>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</si>
  <si>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</si>
  <si>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</si>
  <si>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</si>
  <si>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</si>
  <si>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</si>
  <si>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</si>
  <si>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</si>
  <si>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</si>
  <si>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</si>
  <si>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</si>
  <si>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</si>
  <si>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</si>
  <si>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</si>
  <si>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</si>
  <si>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</si>
  <si>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</si>
  <si>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</si>
  <si>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</si>
  <si>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</si>
  <si>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</si>
  <si>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</si>
  <si>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</si>
  <si>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</si>
  <si>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</si>
  <si>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</si>
  <si>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</si>
  <si>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</si>
  <si>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</si>
  <si>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</si>
  <si>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</si>
  <si>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</si>
  <si>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</si>
  <si>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</si>
  <si>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</si>
  <si>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</si>
  <si>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</si>
  <si>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</si>
  <si>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</si>
  <si>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</si>
  <si>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</si>
  <si>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</si>
  <si>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</si>
  <si>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</si>
  <si>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</si>
  <si>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</si>
  <si>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</si>
  <si>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</si>
  <si>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</si>
  <si>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</si>
  <si>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</si>
  <si>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</si>
  <si>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</si>
  <si>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</si>
  <si>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</si>
  <si>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</si>
  <si>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</si>
  <si>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</si>
  <si>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</si>
  <si>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</si>
  <si>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</si>
  <si>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</si>
  <si>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</si>
  <si>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</si>
  <si>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</si>
  <si>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</si>
  <si>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</si>
  <si>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</si>
  <si>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</si>
  <si>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</si>
  <si>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</si>
  <si>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</si>
  <si>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</si>
  <si>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</si>
  <si>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</si>
  <si>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</si>
  <si>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</si>
  <si>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</si>
  <si>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</si>
  <si>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</si>
  <si>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</si>
  <si>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</si>
  <si>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</si>
  <si>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</si>
  <si>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</si>
  <si>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</si>
  <si>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</si>
  <si>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</si>
  <si>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</si>
  <si>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</si>
  <si>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</si>
  <si>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</si>
  <si>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</si>
  <si>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</si>
  <si>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</si>
  <si>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</si>
  <si>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</si>
  <si>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</si>
  <si>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</si>
  <si>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</si>
  <si>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</si>
  <si>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</si>
  <si>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</si>
  <si>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</si>
  <si>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</si>
  <si>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</si>
  <si>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</si>
  <si>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</si>
  <si>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</si>
  <si>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</si>
  <si>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</si>
  <si>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</si>
  <si>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</si>
  <si>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</si>
  <si>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</si>
  <si>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</si>
  <si>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</si>
  <si>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</si>
  <si>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</si>
  <si>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</si>
  <si>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</si>
  <si>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</si>
  <si>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</si>
  <si>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</si>
  <si>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</si>
  <si>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</si>
  <si>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</si>
  <si>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</si>
  <si>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</si>
  <si>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</si>
  <si>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</si>
  <si>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</si>
  <si>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</si>
  <si>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</si>
  <si>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</si>
  <si>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</si>
  <si>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</si>
  <si>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</si>
  <si>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</si>
  <si>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</si>
  <si>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</si>
  <si>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</si>
  <si>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</si>
  <si>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</si>
  <si>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</si>
  <si>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</si>
  <si>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</si>
  <si>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</si>
  <si>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</si>
  <si>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</si>
  <si>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</si>
  <si>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</si>
  <si>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</si>
  <si>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</si>
  <si>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</si>
  <si>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</si>
  <si>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</si>
  <si>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</si>
  <si>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</si>
  <si>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</si>
  <si>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</si>
  <si>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</si>
  <si>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</si>
  <si>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</si>
  <si>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</si>
  <si>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</si>
  <si>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</si>
  <si>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</si>
  <si>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</si>
  <si>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</si>
  <si>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</si>
  <si>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</si>
  <si>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</si>
  <si>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</si>
  <si>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</si>
  <si>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</si>
  <si>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</si>
  <si>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</si>
  <si>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</si>
  <si>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</si>
  <si>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</si>
  <si>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</si>
  <si>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</si>
  <si>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</si>
  <si>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</si>
  <si>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</si>
  <si>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</si>
  <si>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</si>
  <si>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</si>
  <si>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</si>
  <si>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</si>
  <si>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</si>
  <si>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</si>
  <si>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</si>
  <si>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</si>
  <si>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</si>
  <si>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</si>
  <si>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</si>
  <si>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</si>
  <si>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</si>
  <si>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</si>
  <si>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</si>
  <si>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</si>
  <si>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</si>
  <si>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</si>
  <si>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</si>
  <si>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</si>
  <si>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</si>
  <si>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</si>
  <si>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</si>
  <si>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</si>
  <si>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</si>
  <si>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</si>
  <si>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</si>
  <si>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</si>
  <si>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</si>
  <si>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</si>
  <si>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</si>
  <si>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</si>
  <si>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</si>
  <si>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</si>
  <si>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</si>
  <si>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</si>
  <si>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</si>
  <si>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</si>
  <si>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</si>
  <si>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</si>
  <si>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</si>
  <si>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</si>
  <si>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</si>
  <si>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</si>
  <si>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</si>
  <si>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</si>
  <si>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</si>
  <si>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</si>
  <si>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</si>
  <si>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</si>
  <si>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</si>
  <si>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</si>
  <si>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</si>
  <si>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</si>
  <si>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</si>
  <si>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</si>
  <si>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</si>
  <si>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</si>
  <si>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</si>
  <si>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</si>
  <si>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</si>
  <si>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</si>
  <si>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</si>
  <si>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</si>
  <si>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</si>
  <si>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</si>
  <si>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</si>
  <si>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</si>
  <si>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</si>
  <si>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</si>
  <si>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</si>
  <si>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</si>
  <si>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</si>
  <si>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</si>
  <si>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</si>
  <si>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</si>
  <si>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</si>
  <si>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</si>
  <si>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</si>
  <si>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</si>
  <si>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</si>
  <si>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</si>
  <si>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</si>
  <si>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</si>
  <si>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</si>
  <si>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</si>
  <si>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</si>
  <si>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</si>
  <si>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</si>
  <si>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</si>
  <si>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</si>
  <si>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</si>
  <si>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</si>
  <si>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</si>
  <si>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</si>
  <si>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</si>
  <si>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</si>
  <si>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</si>
  <si>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</si>
  <si>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</si>
  <si>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</si>
  <si>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</si>
  <si>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</si>
  <si>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</si>
  <si>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</si>
  <si>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</si>
  <si>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</si>
  <si>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</si>
  <si>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</si>
  <si>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</si>
  <si>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</si>
  <si>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</si>
  <si>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</si>
  <si>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</si>
  <si>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</si>
  <si>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</si>
  <si>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</si>
  <si>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</si>
  <si>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</si>
  <si>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</si>
  <si>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</si>
  <si>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</si>
  <si>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</si>
  <si>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</si>
  <si>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</si>
  <si>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</si>
  <si>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</si>
  <si>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</si>
  <si>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</si>
  <si>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</si>
  <si>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</si>
  <si>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</si>
  <si>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</si>
  <si>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</si>
  <si>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</si>
  <si>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</si>
  <si>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</si>
  <si>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</si>
  <si>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</si>
  <si>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</si>
  <si>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</si>
  <si>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</si>
  <si>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</si>
  <si>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</si>
  <si>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</si>
  <si>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</si>
  <si>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</si>
  <si>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</si>
  <si>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</si>
  <si>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</si>
  <si>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</si>
  <si>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</si>
  <si>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</si>
  <si>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</si>
  <si>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</si>
  <si>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</si>
  <si>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</si>
  <si>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</si>
  <si>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</si>
  <si>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</si>
  <si>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</si>
  <si>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</si>
  <si>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</si>
  <si>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</si>
  <si>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</si>
  <si>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</si>
  <si>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</si>
  <si>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</si>
  <si>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</si>
  <si>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</si>
  <si>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</si>
  <si>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</si>
  <si>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</si>
  <si>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</si>
  <si>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</si>
  <si>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MSFI</t>
  </si>
  <si>
    <t>14480721492</t>
  </si>
  <si>
    <t>03129489</t>
  </si>
  <si>
    <t>060132808</t>
  </si>
  <si>
    <t>Plovput d.o.o.</t>
  </si>
  <si>
    <t>plovput@plovput.hr</t>
  </si>
  <si>
    <t>www.plovput.hr</t>
  </si>
  <si>
    <t>021/390-600</t>
  </si>
  <si>
    <t xml:space="preserve">Obala Lazareta 1 </t>
  </si>
  <si>
    <t>4.1</t>
  </si>
  <si>
    <t>4.2</t>
  </si>
  <si>
    <t>5</t>
  </si>
  <si>
    <t>5.1</t>
  </si>
  <si>
    <t>5.2</t>
  </si>
  <si>
    <t>5.3</t>
  </si>
  <si>
    <t>6</t>
  </si>
  <si>
    <t>7</t>
  </si>
  <si>
    <t>8.1</t>
  </si>
  <si>
    <t>8.2</t>
  </si>
  <si>
    <t>9</t>
  </si>
  <si>
    <t>10</t>
  </si>
  <si>
    <t>11</t>
  </si>
  <si>
    <t>12</t>
  </si>
  <si>
    <t>13</t>
  </si>
  <si>
    <t>13.1</t>
  </si>
  <si>
    <t>13.2</t>
  </si>
  <si>
    <t>14</t>
  </si>
  <si>
    <t>14.3</t>
  </si>
  <si>
    <t>14.1</t>
  </si>
  <si>
    <t>14.2</t>
  </si>
  <si>
    <t>15</t>
  </si>
  <si>
    <t>16</t>
  </si>
  <si>
    <t>16.1</t>
  </si>
  <si>
    <t>16.2</t>
  </si>
  <si>
    <t>17</t>
  </si>
  <si>
    <t>17.1</t>
  </si>
  <si>
    <t>17.2</t>
  </si>
  <si>
    <t>17.3</t>
  </si>
  <si>
    <t>18</t>
  </si>
  <si>
    <t>19</t>
  </si>
  <si>
    <t>21</t>
  </si>
  <si>
    <t>021/390-643</t>
  </si>
  <si>
    <t>anja.milardovic@plovput.hr</t>
  </si>
  <si>
    <t>doc.dr.sc.Mate Perišić, dipl.ing</t>
  </si>
  <si>
    <t>Anja Milardović, dipl. oec.</t>
  </si>
  <si>
    <t>17544240268</t>
  </si>
  <si>
    <t>5.4</t>
  </si>
  <si>
    <t>13.</t>
  </si>
  <si>
    <t>13.3</t>
  </si>
  <si>
    <t>13.4</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</si>
</sst>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7585192.66</v>
      </c>
      <c r="I3" s="27">
        <f>ABS(ROUND(J3,0)-J3)+ABS(ROUND(K3,0)-K3)</f>
        <v>0</v>
      </c>
      <c r="J3" s="27">
        <f>Bilanca!I10</f>
        <v>125948531</v>
      </c>
      <c r="K3" s="27">
        <f>Bilanca!J10</f>
        <v>126655551</v>
      </c>
    </row>
    <row r="4" spans="1:11" ht="12.75">
      <c r="A4" s="4" t="s">
        <v>2697</v>
      </c>
      <c r="B4" s="25" t="s">
        <v>364</v>
      </c>
      <c r="D4" s="4" t="s">
        <v>554</v>
      </c>
      <c r="E4" s="4">
        <v>1</v>
      </c>
      <c r="F4" s="4">
        <f>Bilanca!G11</f>
        <v>3</v>
      </c>
      <c r="G4" s="4" t="str">
        <f>IF(Bilanca!H11=0,"",Bilanca!H11)</f>
        <v>4.1</v>
      </c>
      <c r="H4" s="26">
        <f>J4/100*F4+2*K4/100*F4</f>
        <v>288663.87</v>
      </c>
      <c r="I4" s="27">
        <f>ABS(ROUND(J4,0)-J4)+ABS(ROUND(K4,0)-K4)</f>
        <v>0</v>
      </c>
      <c r="J4" s="27">
        <f>Bilanca!I11</f>
        <v>2123287</v>
      </c>
      <c r="K4" s="27">
        <f>Bilanca!J11</f>
        <v>3749421</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03129489</v>
      </c>
      <c r="D6" s="4" t="s">
        <v>554</v>
      </c>
      <c r="E6" s="4">
        <v>1</v>
      </c>
      <c r="F6" s="4">
        <f>Bilanca!G13</f>
        <v>5</v>
      </c>
      <c r="G6" s="4">
        <f>IF(Bilanca!H13=0,"",Bilanca!H13)</f>
      </c>
      <c r="H6" s="26">
        <f aca="true" t="shared" si="0" ref="H6:H45">J6/100*F6+2*K6/100*F6</f>
        <v>229767.4</v>
      </c>
      <c r="I6" s="27">
        <f aca="true" t="shared" si="1" ref="I6:I45">ABS(ROUND(J6,0)-J6)+ABS(ROUND(K6,0)-K6)</f>
        <v>0</v>
      </c>
      <c r="J6" s="27">
        <f>Bilanca!I13</f>
        <v>1577902</v>
      </c>
      <c r="K6" s="27">
        <f>Bilanca!J13</f>
        <v>1508723</v>
      </c>
    </row>
    <row r="7" spans="1:11" ht="12.75">
      <c r="A7" s="4" t="s">
        <v>1561</v>
      </c>
      <c r="B7" s="25" t="str">
        <f>RefStr!M27</f>
        <v>060132808</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14480721492</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Plovput d.o.o.</v>
      </c>
      <c r="D9" s="4" t="s">
        <v>554</v>
      </c>
      <c r="E9" s="4">
        <v>1</v>
      </c>
      <c r="F9" s="4">
        <f>Bilanca!G16</f>
        <v>8</v>
      </c>
      <c r="G9" s="4">
        <f>IF(Bilanca!H16=0,"",Bilanca!H16)</f>
      </c>
      <c r="H9" s="26">
        <f t="shared" si="0"/>
        <v>402142.48</v>
      </c>
      <c r="I9" s="27">
        <f t="shared" si="1"/>
        <v>0</v>
      </c>
      <c r="J9" s="27">
        <f>Bilanca!I16</f>
        <v>545385</v>
      </c>
      <c r="K9" s="27">
        <f>Bilanca!J16</f>
        <v>2240698</v>
      </c>
    </row>
    <row r="10" spans="1:11" ht="12.75">
      <c r="A10" s="4" t="s">
        <v>2736</v>
      </c>
      <c r="B10" s="25" t="str">
        <f>TEXT(RefStr!C31,"00000")</f>
        <v>21000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Split</v>
      </c>
      <c r="D11" s="4" t="s">
        <v>554</v>
      </c>
      <c r="E11" s="4">
        <v>1</v>
      </c>
      <c r="F11" s="4">
        <f>Bilanca!G18</f>
        <v>10</v>
      </c>
      <c r="G11" s="4" t="str">
        <f>IF(Bilanca!H18=0,"",Bilanca!H18)</f>
        <v>4.2</v>
      </c>
      <c r="H11" s="26">
        <f t="shared" si="0"/>
        <v>36375300.800000004</v>
      </c>
      <c r="I11" s="27">
        <f t="shared" si="1"/>
        <v>0</v>
      </c>
      <c r="J11" s="27">
        <f>Bilanca!I18</f>
        <v>121841012</v>
      </c>
      <c r="K11" s="27">
        <f>Bilanca!J18</f>
        <v>120955998</v>
      </c>
    </row>
    <row r="12" spans="1:11" ht="12.75">
      <c r="A12" s="4" t="s">
        <v>2738</v>
      </c>
      <c r="B12" s="25" t="str">
        <f>TRIM(RefStr!C33)</f>
        <v>Obala Lazareta 1</v>
      </c>
      <c r="D12" s="4" t="s">
        <v>554</v>
      </c>
      <c r="E12" s="4">
        <v>1</v>
      </c>
      <c r="F12" s="4">
        <f>Bilanca!G19</f>
        <v>11</v>
      </c>
      <c r="G12" s="4">
        <f>IF(Bilanca!H19=0,"",Bilanca!H19)</f>
      </c>
      <c r="H12" s="26">
        <f t="shared" si="0"/>
        <v>324478.44000000006</v>
      </c>
      <c r="I12" s="27">
        <f t="shared" si="1"/>
        <v>0</v>
      </c>
      <c r="J12" s="27">
        <f>Bilanca!I19</f>
        <v>983268</v>
      </c>
      <c r="K12" s="27">
        <f>Bilanca!J19</f>
        <v>983268</v>
      </c>
    </row>
    <row r="13" spans="1:11" ht="12.75">
      <c r="A13" s="4" t="s">
        <v>2884</v>
      </c>
      <c r="B13" s="25" t="str">
        <f>TRIM(RefStr!C35)</f>
        <v>plovput@plovput.hr</v>
      </c>
      <c r="D13" s="4" t="s">
        <v>554</v>
      </c>
      <c r="E13" s="4">
        <v>1</v>
      </c>
      <c r="F13" s="4">
        <f>Bilanca!G20</f>
        <v>12</v>
      </c>
      <c r="G13" s="4">
        <f>IF(Bilanca!H20=0,"",Bilanca!H20)</f>
      </c>
      <c r="H13" s="26">
        <f t="shared" si="0"/>
        <v>19108922.880000003</v>
      </c>
      <c r="I13" s="27">
        <f t="shared" si="1"/>
        <v>0</v>
      </c>
      <c r="J13" s="27">
        <f>Bilanca!I20</f>
        <v>52905806</v>
      </c>
      <c r="K13" s="27">
        <f>Bilanca!J20</f>
        <v>53167609</v>
      </c>
    </row>
    <row r="14" spans="1:11" ht="12.75">
      <c r="A14" s="4" t="s">
        <v>2885</v>
      </c>
      <c r="B14" s="25" t="str">
        <f>TRIM(RefStr!C37)</f>
        <v>www.plovput.hr</v>
      </c>
      <c r="D14" s="4" t="s">
        <v>554</v>
      </c>
      <c r="E14" s="4">
        <v>1</v>
      </c>
      <c r="F14" s="4">
        <f>Bilanca!G21</f>
        <v>13</v>
      </c>
      <c r="G14" s="4">
        <f>IF(Bilanca!H21=0,"",Bilanca!H21)</f>
      </c>
      <c r="H14" s="26">
        <f t="shared" si="0"/>
        <v>5056985.18</v>
      </c>
      <c r="I14" s="27">
        <f t="shared" si="1"/>
        <v>0</v>
      </c>
      <c r="J14" s="27">
        <f>Bilanca!I21</f>
        <v>12517938</v>
      </c>
      <c r="K14" s="27">
        <f>Bilanca!J21</f>
        <v>13190974</v>
      </c>
    </row>
    <row r="15" spans="1:11" ht="12.75">
      <c r="A15" s="4" t="s">
        <v>2741</v>
      </c>
      <c r="B15" s="25" t="str">
        <f>TEXT(RefStr!J39,"00")</f>
        <v>17</v>
      </c>
      <c r="D15" s="4" t="s">
        <v>554</v>
      </c>
      <c r="E15" s="4">
        <v>1</v>
      </c>
      <c r="F15" s="4">
        <f>Bilanca!G22</f>
        <v>14</v>
      </c>
      <c r="G15" s="4">
        <f>IF(Bilanca!H22=0,"",Bilanca!H22)</f>
      </c>
      <c r="H15" s="26">
        <f t="shared" si="0"/>
        <v>18366768.28</v>
      </c>
      <c r="I15" s="27">
        <f t="shared" si="1"/>
        <v>0</v>
      </c>
      <c r="J15" s="27">
        <f>Bilanca!I22</f>
        <v>44887542</v>
      </c>
      <c r="K15" s="27">
        <f>Bilanca!J22</f>
        <v>43151830</v>
      </c>
    </row>
    <row r="16" spans="1:11" ht="12.75">
      <c r="A16" s="4" t="s">
        <v>2740</v>
      </c>
      <c r="B16" s="25" t="str">
        <f>TEXT(RefStr!C39,"000")</f>
        <v>409</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5222</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1233080.7200000002</v>
      </c>
      <c r="I18" s="27">
        <f t="shared" si="1"/>
        <v>0</v>
      </c>
      <c r="J18" s="27">
        <f>Bilanca!I25</f>
        <v>2152690</v>
      </c>
      <c r="K18" s="27">
        <f>Bilanca!J25</f>
        <v>2550363</v>
      </c>
    </row>
    <row r="19" spans="1:11" ht="12.75">
      <c r="A19" s="4" t="s">
        <v>2887</v>
      </c>
      <c r="B19" s="25" t="str">
        <f>IF(RefStr!I21&lt;&gt;"",RefStr!I21,"")</f>
        <v>DA</v>
      </c>
      <c r="D19" s="4" t="s">
        <v>554</v>
      </c>
      <c r="E19" s="4">
        <v>1</v>
      </c>
      <c r="F19" s="4">
        <f>Bilanca!G26</f>
        <v>18</v>
      </c>
      <c r="G19" s="4">
        <f>IF(Bilanca!H26=0,"",Bilanca!H26)</f>
      </c>
      <c r="H19" s="26">
        <f t="shared" si="0"/>
        <v>19231.74</v>
      </c>
      <c r="I19" s="27">
        <f t="shared" si="1"/>
        <v>0</v>
      </c>
      <c r="J19" s="27">
        <f>Bilanca!I26</f>
        <v>26573</v>
      </c>
      <c r="K19" s="27">
        <f>Bilanca!J26</f>
        <v>40135</v>
      </c>
    </row>
    <row r="20" spans="1:11" ht="12.75">
      <c r="A20" s="4" t="s">
        <v>2888</v>
      </c>
      <c r="B20" s="25">
        <f>RefStr!C19</f>
        <v>2</v>
      </c>
      <c r="D20" s="4" t="s">
        <v>554</v>
      </c>
      <c r="E20" s="4">
        <v>1</v>
      </c>
      <c r="F20" s="4">
        <f>Bilanca!G27</f>
        <v>19</v>
      </c>
      <c r="G20" s="4">
        <f>IF(Bilanca!H27=0,"",Bilanca!H27)</f>
      </c>
      <c r="H20" s="26">
        <f t="shared" si="0"/>
        <v>4581058.2700000005</v>
      </c>
      <c r="I20" s="27">
        <f t="shared" si="1"/>
        <v>0</v>
      </c>
      <c r="J20" s="27">
        <f>Bilanca!I27</f>
        <v>8367195</v>
      </c>
      <c r="K20" s="27">
        <f>Bilanca!J27</f>
        <v>7871819</v>
      </c>
    </row>
    <row r="21" spans="1:11" ht="12.75">
      <c r="A21" s="4" t="s">
        <v>2889</v>
      </c>
      <c r="B21" s="25">
        <f>IF(RefStr!C50&gt;0,IF(RefStr!C50=1,4,RefStr!C50-1),RefStr!C50)</f>
        <v>3</v>
      </c>
      <c r="D21" s="4" t="s">
        <v>554</v>
      </c>
      <c r="E21" s="4">
        <v>1</v>
      </c>
      <c r="F21" s="4">
        <f>Bilanca!G28</f>
        <v>20</v>
      </c>
      <c r="G21" s="4" t="str">
        <f>IF(Bilanca!H28=0,"",Bilanca!H28)</f>
        <v>5</v>
      </c>
      <c r="H21" s="26">
        <f t="shared" si="0"/>
        <v>988008.2000000001</v>
      </c>
      <c r="I21" s="27">
        <f t="shared" si="1"/>
        <v>0</v>
      </c>
      <c r="J21" s="27">
        <f>Bilanca!I28</f>
        <v>1698207</v>
      </c>
      <c r="K21" s="27">
        <f>Bilanca!J28</f>
        <v>1620917</v>
      </c>
    </row>
    <row r="22" spans="1:11" ht="12.75">
      <c r="A22" s="4" t="s">
        <v>2890</v>
      </c>
      <c r="B22" s="25">
        <f>RefStr!C52</f>
        <v>11</v>
      </c>
      <c r="D22" s="4" t="s">
        <v>554</v>
      </c>
      <c r="E22" s="4">
        <v>1</v>
      </c>
      <c r="F22" s="4">
        <f>Bilanca!G29</f>
        <v>21</v>
      </c>
      <c r="G22" s="4" t="str">
        <f>IF(Bilanca!H29=0,"",Bilanca!H29)</f>
        <v>5.1</v>
      </c>
      <c r="H22" s="26">
        <f t="shared" si="0"/>
        <v>66717</v>
      </c>
      <c r="I22" s="27">
        <f t="shared" si="1"/>
        <v>0</v>
      </c>
      <c r="J22" s="27">
        <f>Bilanca!I29</f>
        <v>105900</v>
      </c>
      <c r="K22" s="27">
        <f>Bilanca!J29</f>
        <v>105900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256</v>
      </c>
      <c r="D25" s="4" t="s">
        <v>554</v>
      </c>
      <c r="E25" s="4">
        <v>1</v>
      </c>
      <c r="F25" s="4">
        <f>Bilanca!G32</f>
        <v>24</v>
      </c>
      <c r="G25" s="4" t="str">
        <f>IF(Bilanca!H32=0,"",Bilanca!H32)</f>
        <v>5.2</v>
      </c>
      <c r="H25" s="26">
        <f t="shared" si="0"/>
        <v>820388.6399999999</v>
      </c>
      <c r="I25" s="27">
        <f t="shared" si="1"/>
        <v>0</v>
      </c>
      <c r="J25" s="27">
        <f>Bilanca!I32</f>
        <v>1146222</v>
      </c>
      <c r="K25" s="27">
        <f>Bilanca!J32</f>
        <v>1136032</v>
      </c>
    </row>
    <row r="26" spans="1:11" ht="12.75">
      <c r="A26" s="4" t="s">
        <v>2894</v>
      </c>
      <c r="B26" s="25">
        <f>RefStr!F56</f>
        <v>258</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251</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252</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t="str">
        <f>IF(Bilanca!H36=0,"",Bilanca!H36)</f>
        <v>5.3</v>
      </c>
      <c r="H29" s="26">
        <f t="shared" si="0"/>
        <v>337135.4</v>
      </c>
      <c r="I29" s="27">
        <f t="shared" si="1"/>
        <v>0</v>
      </c>
      <c r="J29" s="27">
        <f>Bilanca!I36</f>
        <v>446085</v>
      </c>
      <c r="K29" s="27">
        <f>Bilanca!J36</f>
        <v>378985</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t="str">
        <f>IF(Bilanca!H39=0,"",Bilanca!H39)</f>
        <v>5.4</v>
      </c>
      <c r="H32" s="26">
        <f t="shared" si="0"/>
        <v>92.07</v>
      </c>
      <c r="I32" s="27">
        <f t="shared" si="1"/>
        <v>0</v>
      </c>
      <c r="J32" s="27">
        <f>Bilanca!I39</f>
        <v>203</v>
      </c>
      <c r="K32" s="27">
        <f>Bilanca!J39</f>
        <v>47</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t="str">
        <f>IF(Bilanca!H42=0,"",Bilanca!H42)</f>
        <v>5.4</v>
      </c>
      <c r="H35" s="26">
        <f t="shared" si="0"/>
        <v>81.6</v>
      </c>
      <c r="I35" s="27">
        <f t="shared" si="1"/>
        <v>0</v>
      </c>
      <c r="J35" s="27">
        <f>Bilanca!I42</f>
        <v>146</v>
      </c>
      <c r="K35" s="27">
        <f>Bilanca!J42</f>
        <v>47</v>
      </c>
    </row>
    <row r="36" spans="1:11" ht="12.75">
      <c r="A36" s="4" t="s">
        <v>2904</v>
      </c>
      <c r="B36" s="25" t="s">
        <v>883</v>
      </c>
      <c r="D36" s="4" t="s">
        <v>554</v>
      </c>
      <c r="E36" s="4">
        <v>1</v>
      </c>
      <c r="F36" s="4">
        <f>Bilanca!G43</f>
        <v>35</v>
      </c>
      <c r="G36" s="4">
        <f>IF(Bilanca!H43=0,"",Bilanca!H43)</f>
      </c>
      <c r="H36" s="26">
        <f t="shared" si="0"/>
        <v>19.95</v>
      </c>
      <c r="I36" s="27">
        <f t="shared" si="1"/>
        <v>0</v>
      </c>
      <c r="J36" s="27">
        <f>Bilanca!I43</f>
        <v>57</v>
      </c>
      <c r="K36" s="27">
        <f>Bilanca!J43</f>
        <v>0</v>
      </c>
    </row>
    <row r="37" spans="1:11" ht="12.75">
      <c r="A37" s="4" t="s">
        <v>2905</v>
      </c>
      <c r="B37" s="25">
        <f>RefStr!B64</f>
        <v>0</v>
      </c>
      <c r="D37" s="4" t="s">
        <v>554</v>
      </c>
      <c r="E37" s="4">
        <v>1</v>
      </c>
      <c r="F37" s="4">
        <f>Bilanca!G44</f>
        <v>36</v>
      </c>
      <c r="G37" s="4" t="str">
        <f>IF(Bilanca!H44=0,"",Bilanca!H44)</f>
        <v>6</v>
      </c>
      <c r="H37" s="26">
        <f t="shared" si="0"/>
        <v>339896.88</v>
      </c>
      <c r="I37" s="27">
        <f t="shared" si="1"/>
        <v>0</v>
      </c>
      <c r="J37" s="27">
        <f>Bilanca!I44</f>
        <v>285822</v>
      </c>
      <c r="K37" s="27">
        <f>Bilanca!J44</f>
        <v>329168</v>
      </c>
    </row>
    <row r="38" spans="1:11" ht="12.75">
      <c r="A38" s="4" t="s">
        <v>2906</v>
      </c>
      <c r="B38" s="25">
        <f>RefStr!B66</f>
        <v>0</v>
      </c>
      <c r="D38" s="4" t="s">
        <v>554</v>
      </c>
      <c r="E38" s="4">
        <v>1</v>
      </c>
      <c r="F38" s="4">
        <f>Bilanca!G45</f>
        <v>37</v>
      </c>
      <c r="G38" s="4">
        <f>IF(Bilanca!H45=0,"",Bilanca!H45)</f>
      </c>
      <c r="H38" s="26">
        <f t="shared" si="0"/>
        <v>48300690.96</v>
      </c>
      <c r="I38" s="27">
        <f t="shared" si="1"/>
        <v>0</v>
      </c>
      <c r="J38" s="27">
        <f>Bilanca!I45</f>
        <v>40904844</v>
      </c>
      <c r="K38" s="27">
        <f>Bilanca!J45</f>
        <v>44818782</v>
      </c>
    </row>
    <row r="39" spans="1:11" ht="12.75">
      <c r="A39" s="4" t="s">
        <v>1611</v>
      </c>
      <c r="B39" s="25" t="str">
        <f>RefStr!C68</f>
        <v>Anja Milardović, dipl. oec.</v>
      </c>
      <c r="D39" s="4" t="s">
        <v>554</v>
      </c>
      <c r="E39" s="4">
        <v>1</v>
      </c>
      <c r="F39" s="4">
        <f>Bilanca!G46</f>
        <v>38</v>
      </c>
      <c r="G39" s="4" t="str">
        <f>IF(Bilanca!H46=0,"",Bilanca!H46)</f>
        <v>7</v>
      </c>
      <c r="H39" s="26">
        <f t="shared" si="0"/>
        <v>8176580.08</v>
      </c>
      <c r="I39" s="27">
        <f t="shared" si="1"/>
        <v>0</v>
      </c>
      <c r="J39" s="27">
        <f>Bilanca!I46</f>
        <v>6245810</v>
      </c>
      <c r="K39" s="27">
        <f>Bilanca!J46</f>
        <v>7635753</v>
      </c>
    </row>
    <row r="40" spans="1:11" ht="12.75">
      <c r="A40" s="4" t="s">
        <v>1612</v>
      </c>
      <c r="B40" s="25" t="str">
        <f>TRIM(RefStr!C70)</f>
        <v>021/390-643</v>
      </c>
      <c r="D40" s="4" t="s">
        <v>554</v>
      </c>
      <c r="E40" s="4">
        <v>1</v>
      </c>
      <c r="F40" s="4">
        <f>Bilanca!G47</f>
        <v>39</v>
      </c>
      <c r="G40" s="4">
        <f>IF(Bilanca!H47=0,"",Bilanca!H47)</f>
      </c>
      <c r="H40" s="26">
        <f t="shared" si="0"/>
        <v>8391753.24</v>
      </c>
      <c r="I40" s="27">
        <f t="shared" si="1"/>
        <v>0</v>
      </c>
      <c r="J40" s="27">
        <f>Bilanca!I47</f>
        <v>6245810</v>
      </c>
      <c r="K40" s="27">
        <f>Bilanca!J47</f>
        <v>7635753</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anja.milardovic@plovput.hr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doc.dr.sc.Mate Perišić, dipl.ing</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11908648.36</v>
      </c>
      <c r="I47" s="27">
        <f t="shared" si="3"/>
        <v>0</v>
      </c>
      <c r="J47" s="27">
        <f>Bilanca!I54</f>
        <v>9329424</v>
      </c>
      <c r="K47" s="27">
        <f>Bilanca!J54</f>
        <v>8279471</v>
      </c>
    </row>
    <row r="48" spans="1:11" ht="12.75">
      <c r="A48" s="4" t="s">
        <v>2226</v>
      </c>
      <c r="B48" s="25" t="str">
        <f>RefStr!I54</f>
        <v>NE</v>
      </c>
      <c r="D48" s="4" t="s">
        <v>554</v>
      </c>
      <c r="E48" s="4">
        <v>1</v>
      </c>
      <c r="F48" s="4">
        <f>Bilanca!G55</f>
        <v>47</v>
      </c>
      <c r="G48" s="4" t="str">
        <f>IF(Bilanca!H55=0,"",Bilanca!H55)</f>
        <v>8.1</v>
      </c>
      <c r="H48" s="26">
        <f t="shared" si="2"/>
        <v>20898.550000000003</v>
      </c>
      <c r="I48" s="27">
        <f t="shared" si="3"/>
        <v>0</v>
      </c>
      <c r="J48" s="27">
        <f>Bilanca!I55</f>
        <v>16199</v>
      </c>
      <c r="K48" s="27">
        <f>Bilanca!J55</f>
        <v>14133</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DA</v>
      </c>
      <c r="D50" s="4" t="s">
        <v>554</v>
      </c>
      <c r="E50" s="4">
        <v>1</v>
      </c>
      <c r="F50" s="4">
        <f>Bilanca!G57</f>
        <v>49</v>
      </c>
      <c r="G50" s="4" t="str">
        <f>IF(Bilanca!H57=0,"",Bilanca!H57)</f>
        <v>8.1</v>
      </c>
      <c r="H50" s="26">
        <f t="shared" si="2"/>
        <v>10016098.33</v>
      </c>
      <c r="I50" s="27">
        <f t="shared" si="3"/>
        <v>0</v>
      </c>
      <c r="J50" s="27">
        <f>Bilanca!I57</f>
        <v>7637683</v>
      </c>
      <c r="K50" s="27">
        <f>Bilanca!J57</f>
        <v>6401667</v>
      </c>
    </row>
    <row r="51" spans="1:11" ht="12.75">
      <c r="A51" s="4" t="s">
        <v>1035</v>
      </c>
      <c r="B51" s="25" t="str">
        <f>RefStr!I60</f>
        <v>DA</v>
      </c>
      <c r="D51" s="4" t="s">
        <v>554</v>
      </c>
      <c r="E51" s="4">
        <v>1</v>
      </c>
      <c r="F51" s="4">
        <f>Bilanca!G58</f>
        <v>50</v>
      </c>
      <c r="G51" s="4" t="str">
        <f>IF(Bilanca!H58=0,"",Bilanca!H58)</f>
        <v>8.2</v>
      </c>
      <c r="H51" s="26">
        <f t="shared" si="2"/>
        <v>10164.5</v>
      </c>
      <c r="I51" s="27">
        <f t="shared" si="3"/>
        <v>0</v>
      </c>
      <c r="J51" s="27">
        <f>Bilanca!I58</f>
        <v>11529</v>
      </c>
      <c r="K51" s="27">
        <f>Bilanca!J58</f>
        <v>4400</v>
      </c>
    </row>
    <row r="52" spans="1:11" ht="12.75">
      <c r="A52" s="4" t="s">
        <v>1614</v>
      </c>
      <c r="B52" s="25" t="s">
        <v>1237</v>
      </c>
      <c r="D52" s="4" t="s">
        <v>554</v>
      </c>
      <c r="E52" s="4">
        <v>1</v>
      </c>
      <c r="F52" s="4">
        <f>Bilanca!G59</f>
        <v>51</v>
      </c>
      <c r="G52" s="4" t="str">
        <f>IF(Bilanca!H59=0,"",Bilanca!H59)</f>
        <v>8.2</v>
      </c>
      <c r="H52" s="26">
        <f t="shared" si="2"/>
        <v>1805654.49</v>
      </c>
      <c r="I52" s="27">
        <f t="shared" si="3"/>
        <v>0</v>
      </c>
      <c r="J52" s="27">
        <f>Bilanca!I59</f>
        <v>1108079</v>
      </c>
      <c r="K52" s="27">
        <f>Bilanca!J59</f>
        <v>1216210</v>
      </c>
    </row>
    <row r="53" spans="1:11" ht="12.75">
      <c r="A53" s="4" t="s">
        <v>1301</v>
      </c>
      <c r="B53" s="25" t="str">
        <f>RefStr!I56</f>
        <v>DA</v>
      </c>
      <c r="D53" s="4" t="s">
        <v>554</v>
      </c>
      <c r="E53" s="4">
        <v>1</v>
      </c>
      <c r="F53" s="4">
        <f>Bilanca!G60</f>
        <v>52</v>
      </c>
      <c r="G53" s="4" t="str">
        <f>IF(Bilanca!H60=0,"",Bilanca!H60)</f>
        <v>8.2</v>
      </c>
      <c r="H53" s="26">
        <f t="shared" si="2"/>
        <v>957869.1199999999</v>
      </c>
      <c r="I53" s="27">
        <f t="shared" si="3"/>
        <v>0</v>
      </c>
      <c r="J53" s="27">
        <f>Bilanca!I60</f>
        <v>555934</v>
      </c>
      <c r="K53" s="27">
        <f>Bilanca!J60</f>
        <v>643061</v>
      </c>
    </row>
    <row r="54" spans="1:11" ht="12.75">
      <c r="A54" s="4" t="s">
        <v>1302</v>
      </c>
      <c r="B54" s="25" t="str">
        <f>RefStr!I62</f>
        <v>DA</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DA</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t="str">
        <f>IF(Bilanca!H64=0,"",Bilanca!H64)</f>
        <v>9</v>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5570469444.940001</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17544240268</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t="str">
        <f>IF(Bilanca!H71=0,"",Bilanca!H71)</f>
        <v>10</v>
      </c>
      <c r="H64" s="26">
        <f t="shared" si="2"/>
        <v>52376137.38000001</v>
      </c>
      <c r="I64" s="27">
        <f t="shared" si="3"/>
        <v>0</v>
      </c>
      <c r="J64" s="27">
        <f>Bilanca!I71</f>
        <v>25329610</v>
      </c>
      <c r="K64" s="27">
        <f>Bilanca!J71</f>
        <v>28903558</v>
      </c>
    </row>
    <row r="65" spans="1:11" ht="12.75">
      <c r="A65" s="4" t="s">
        <v>923</v>
      </c>
      <c r="B65" s="25" t="str">
        <f>TRIM(RefStr!N19)</f>
        <v>MSFI</v>
      </c>
      <c r="D65" s="4" t="s">
        <v>554</v>
      </c>
      <c r="E65" s="4">
        <v>1</v>
      </c>
      <c r="F65" s="4">
        <f>Bilanca!G72</f>
        <v>64</v>
      </c>
      <c r="G65" s="4" t="str">
        <f>IF(Bilanca!H72=0,"",Bilanca!H72)</f>
        <v>11</v>
      </c>
      <c r="H65" s="26">
        <f t="shared" si="2"/>
        <v>729954.56</v>
      </c>
      <c r="I65" s="27">
        <f t="shared" si="3"/>
        <v>0</v>
      </c>
      <c r="J65" s="27">
        <f>Bilanca!I72</f>
        <v>408502</v>
      </c>
      <c r="K65" s="27">
        <f>Bilanca!J72</f>
        <v>366026</v>
      </c>
    </row>
    <row r="66" spans="1:11" ht="12.75">
      <c r="A66" s="4" t="s">
        <v>924</v>
      </c>
      <c r="B66" s="25">
        <f>RefStr!C23</f>
        <v>1</v>
      </c>
      <c r="D66" s="4" t="s">
        <v>554</v>
      </c>
      <c r="E66" s="4">
        <v>1</v>
      </c>
      <c r="F66" s="4">
        <f>Bilanca!G73</f>
        <v>65</v>
      </c>
      <c r="G66" s="4">
        <f>IF(Bilanca!H73=0,"",Bilanca!H73)</f>
      </c>
      <c r="H66" s="26">
        <f t="shared" si="2"/>
        <v>332112686.75</v>
      </c>
      <c r="I66" s="27">
        <f t="shared" si="3"/>
        <v>0</v>
      </c>
      <c r="J66" s="27">
        <f>Bilanca!I73</f>
        <v>167261877</v>
      </c>
      <c r="K66" s="27">
        <f>Bilanca!J73</f>
        <v>171840359</v>
      </c>
    </row>
    <row r="67" spans="1:11" ht="12.75">
      <c r="A67" s="4" t="s">
        <v>925</v>
      </c>
      <c r="B67" s="25" t="str">
        <f>TRIM(RefStr!L35)</f>
        <v>021/390-600</v>
      </c>
      <c r="D67" s="4" t="s">
        <v>554</v>
      </c>
      <c r="E67" s="4">
        <v>1</v>
      </c>
      <c r="F67" s="4">
        <f>Bilanca!G74</f>
        <v>66</v>
      </c>
      <c r="G67" s="4">
        <f>IF(Bilanca!H74=0,"",Bilanca!H74)</f>
      </c>
      <c r="H67" s="26">
        <f t="shared" si="2"/>
        <v>429475.86</v>
      </c>
      <c r="I67" s="27">
        <f t="shared" si="3"/>
        <v>0</v>
      </c>
      <c r="J67" s="27">
        <f>Bilanca!I74</f>
        <v>219377</v>
      </c>
      <c r="K67" s="27">
        <f>Bilanca!J74</f>
        <v>215672</v>
      </c>
    </row>
    <row r="68" spans="1:11" ht="12.75">
      <c r="A68" s="4" t="s">
        <v>926</v>
      </c>
      <c r="B68" s="25">
        <f>RefStr!C44</f>
        <v>7</v>
      </c>
      <c r="D68" s="4" t="s">
        <v>554</v>
      </c>
      <c r="E68" s="4">
        <v>1</v>
      </c>
      <c r="F68" s="4">
        <f>Bilanca!G76</f>
        <v>67</v>
      </c>
      <c r="G68" s="4" t="str">
        <f>IF(Bilanca!H76=0,"",Bilanca!H76)</f>
        <v>12</v>
      </c>
      <c r="H68" s="26">
        <f t="shared" si="2"/>
        <v>281335639.13</v>
      </c>
      <c r="I68" s="27">
        <f t="shared" si="3"/>
        <v>0</v>
      </c>
      <c r="J68" s="27">
        <f>Bilanca!I76</f>
        <v>138220095</v>
      </c>
      <c r="K68" s="27">
        <f>Bilanca!J76</f>
        <v>140841922</v>
      </c>
    </row>
    <row r="69" spans="1:11" ht="12.75">
      <c r="A69" s="4" t="s">
        <v>927</v>
      </c>
      <c r="B69" s="25">
        <f>TRIM(RefStr!M46)</f>
      </c>
      <c r="D69" s="4" t="s">
        <v>554</v>
      </c>
      <c r="E69" s="4">
        <v>1</v>
      </c>
      <c r="F69" s="4">
        <f>Bilanca!G77</f>
        <v>68</v>
      </c>
      <c r="G69" s="4">
        <f>IF(Bilanca!H77=0,"",Bilanca!H77)</f>
      </c>
      <c r="H69" s="26">
        <f t="shared" si="2"/>
        <v>227554248</v>
      </c>
      <c r="I69" s="27">
        <f t="shared" si="3"/>
        <v>0</v>
      </c>
      <c r="J69" s="27">
        <f>Bilanca!I77</f>
        <v>111546200</v>
      </c>
      <c r="K69" s="27">
        <f>Bilanca!J77</f>
        <v>111546200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1382495.73</v>
      </c>
      <c r="I78" s="27">
        <f t="shared" si="3"/>
        <v>0</v>
      </c>
      <c r="J78" s="27">
        <f>Bilanca!I86</f>
        <v>496239</v>
      </c>
      <c r="K78" s="27">
        <f>Bilanca!J86</f>
        <v>649605</v>
      </c>
    </row>
    <row r="79" spans="4:11" ht="12.75">
      <c r="D79" s="4" t="s">
        <v>554</v>
      </c>
      <c r="E79" s="4">
        <v>1</v>
      </c>
      <c r="F79" s="4">
        <f>Bilanca!G87</f>
        <v>78</v>
      </c>
      <c r="G79" s="4">
        <f>IF(Bilanca!H87=0,"",Bilanca!H87)</f>
      </c>
      <c r="H79" s="26">
        <f t="shared" si="2"/>
        <v>1400450.2200000002</v>
      </c>
      <c r="I79" s="27">
        <f t="shared" si="3"/>
        <v>0</v>
      </c>
      <c r="J79" s="27">
        <f>Bilanca!I87</f>
        <v>496239</v>
      </c>
      <c r="K79" s="27">
        <f>Bilanca!J87</f>
        <v>649605</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50723851.42</v>
      </c>
      <c r="I84" s="27">
        <f t="shared" si="3"/>
        <v>0</v>
      </c>
      <c r="J84" s="27">
        <f>Bilanca!I92</f>
        <v>19835994</v>
      </c>
      <c r="K84" s="27">
        <f>Bilanca!J92</f>
        <v>20638540</v>
      </c>
    </row>
    <row r="85" spans="4:11" ht="12.75">
      <c r="D85" s="4" t="s">
        <v>554</v>
      </c>
      <c r="E85" s="4">
        <v>1</v>
      </c>
      <c r="F85" s="4">
        <f>Bilanca!G93</f>
        <v>84</v>
      </c>
      <c r="G85" s="4">
        <f>IF(Bilanca!H93=0,"",Bilanca!H93)</f>
      </c>
      <c r="H85" s="26">
        <f t="shared" si="2"/>
        <v>51334982.16</v>
      </c>
      <c r="I85" s="27">
        <f t="shared" si="3"/>
        <v>0</v>
      </c>
      <c r="J85" s="27">
        <f>Bilanca!I93</f>
        <v>19835994</v>
      </c>
      <c r="K85" s="27">
        <f>Bilanca!J93</f>
        <v>20638540</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19226861.76</v>
      </c>
      <c r="I87" s="27">
        <f>ABS(ROUND(J87,0)-J87)+ABS(ROUND(K87,0)-K87)</f>
        <v>0</v>
      </c>
      <c r="J87" s="27">
        <f>Bilanca!I95</f>
        <v>6341662</v>
      </c>
      <c r="K87" s="27">
        <f>Bilanca!J95</f>
        <v>8007577</v>
      </c>
    </row>
    <row r="88" spans="4:11" ht="12.75">
      <c r="D88" s="4" t="s">
        <v>554</v>
      </c>
      <c r="E88" s="4">
        <v>1</v>
      </c>
      <c r="F88" s="4">
        <f>Bilanca!G96</f>
        <v>87</v>
      </c>
      <c r="G88" s="4">
        <f>IF(Bilanca!H96=0,"",Bilanca!H96)</f>
      </c>
      <c r="H88" s="26">
        <f>J88/100*F88+2*K88/100*F88</f>
        <v>19450429.92</v>
      </c>
      <c r="I88" s="27">
        <f>ABS(ROUND(J88,0)-J88)+ABS(ROUND(K88,0)-K88)</f>
        <v>0</v>
      </c>
      <c r="J88" s="27">
        <f>Bilanca!I96</f>
        <v>6341662</v>
      </c>
      <c r="K88" s="27">
        <f>Bilanca!J96</f>
        <v>8007577</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t="str">
        <f>IF(Bilanca!H99=0,"",Bilanca!H99)</f>
        <v>13</v>
      </c>
      <c r="H91" s="26">
        <f t="shared" si="4"/>
        <v>4480306.2</v>
      </c>
      <c r="I91" s="27">
        <f t="shared" si="5"/>
        <v>0</v>
      </c>
      <c r="J91" s="27">
        <f>Bilanca!I99</f>
        <v>1670910</v>
      </c>
      <c r="K91" s="27">
        <f>Bilanca!J99</f>
        <v>1653604</v>
      </c>
    </row>
    <row r="92" spans="4:11" ht="12.75">
      <c r="D92" s="4" t="s">
        <v>554</v>
      </c>
      <c r="E92" s="4">
        <v>1</v>
      </c>
      <c r="F92" s="4">
        <f>Bilanca!G100</f>
        <v>91</v>
      </c>
      <c r="G92" s="4" t="str">
        <f>IF(Bilanca!H100=0,"",Bilanca!H100)</f>
        <v>13.2</v>
      </c>
      <c r="H92" s="26">
        <f t="shared" si="4"/>
        <v>3891267.3800000004</v>
      </c>
      <c r="I92" s="27">
        <f t="shared" si="5"/>
        <v>0</v>
      </c>
      <c r="J92" s="27">
        <f>Bilanca!I100</f>
        <v>1508910</v>
      </c>
      <c r="K92" s="27">
        <f>Bilanca!J100</f>
        <v>1383604</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t="str">
        <f>IF(Bilanca!H102=0,"",Bilanca!H102)</f>
        <v>13.1</v>
      </c>
      <c r="H94" s="26">
        <f t="shared" si="4"/>
        <v>652860</v>
      </c>
      <c r="I94" s="27">
        <f t="shared" si="5"/>
        <v>0</v>
      </c>
      <c r="J94" s="27">
        <f>Bilanca!I102</f>
        <v>162000</v>
      </c>
      <c r="K94" s="27">
        <f>Bilanca!J102</f>
        <v>270000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t="str">
        <f>IF(Bilanca!H106=0,"",Bilanca!H106)</f>
        <v>13.</v>
      </c>
      <c r="H98" s="26">
        <f t="shared" si="4"/>
        <v>4735626.33</v>
      </c>
      <c r="I98" s="27">
        <f t="shared" si="5"/>
        <v>0</v>
      </c>
      <c r="J98" s="27">
        <f>Bilanca!I106</f>
        <v>2068327</v>
      </c>
      <c r="K98" s="27">
        <f>Bilanca!J106</f>
        <v>1406881</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t="str">
        <f>IF(Bilanca!H113=0,"",Bilanca!H113)</f>
        <v>13.3</v>
      </c>
      <c r="H105" s="26">
        <f t="shared" si="4"/>
        <v>1029.6000000000001</v>
      </c>
      <c r="I105" s="27">
        <f t="shared" si="5"/>
        <v>0</v>
      </c>
      <c r="J105" s="27">
        <f>Bilanca!I113</f>
        <v>990</v>
      </c>
      <c r="K105" s="27">
        <f>Bilanca!J113</f>
        <v>0</v>
      </c>
    </row>
    <row r="106" spans="4:11" ht="12.75">
      <c r="D106" s="4" t="s">
        <v>554</v>
      </c>
      <c r="E106" s="4">
        <v>1</v>
      </c>
      <c r="F106" s="4">
        <f>Bilanca!G114</f>
        <v>105</v>
      </c>
      <c r="G106" s="4" t="str">
        <f>IF(Bilanca!H114=0,"",Bilanca!H114)</f>
        <v>13.3</v>
      </c>
      <c r="H106" s="26">
        <f t="shared" si="4"/>
        <v>3941039.55</v>
      </c>
      <c r="I106" s="27">
        <f t="shared" si="5"/>
        <v>0</v>
      </c>
      <c r="J106" s="27">
        <f>Bilanca!I114</f>
        <v>1646495</v>
      </c>
      <c r="K106" s="27">
        <f>Bilanca!J114</f>
        <v>1053438</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t="str">
        <f>IF(Bilanca!H116=0,"",Bilanca!H116)</f>
        <v>13.3</v>
      </c>
      <c r="H108" s="26">
        <f t="shared" si="4"/>
        <v>860905.95</v>
      </c>
      <c r="I108" s="27">
        <f t="shared" si="5"/>
        <v>0</v>
      </c>
      <c r="J108" s="27">
        <f>Bilanca!I116</f>
        <v>311905</v>
      </c>
      <c r="K108" s="27">
        <f>Bilanca!J116</f>
        <v>246340</v>
      </c>
    </row>
    <row r="109" spans="4:11" ht="12.75">
      <c r="D109" s="4" t="s">
        <v>554</v>
      </c>
      <c r="E109" s="4">
        <v>1</v>
      </c>
      <c r="F109" s="4">
        <f>Bilanca!G117</f>
        <v>108</v>
      </c>
      <c r="G109" s="4" t="str">
        <f>IF(Bilanca!H117=0,"",Bilanca!H117)</f>
        <v>13.4</v>
      </c>
      <c r="H109" s="26">
        <f t="shared" si="4"/>
        <v>348994.43999999994</v>
      </c>
      <c r="I109" s="27">
        <f t="shared" si="5"/>
        <v>0</v>
      </c>
      <c r="J109" s="27">
        <f>Bilanca!I117</f>
        <v>108937</v>
      </c>
      <c r="K109" s="27">
        <f>Bilanca!J117</f>
        <v>107103</v>
      </c>
    </row>
    <row r="110" spans="4:11" ht="12.75">
      <c r="D110" s="4" t="s">
        <v>554</v>
      </c>
      <c r="E110" s="4">
        <v>1</v>
      </c>
      <c r="F110" s="4">
        <f>Bilanca!G118</f>
        <v>109</v>
      </c>
      <c r="G110" s="4" t="str">
        <f>IF(Bilanca!H118=0,"",Bilanca!H118)</f>
        <v>14</v>
      </c>
      <c r="H110" s="26">
        <f t="shared" si="4"/>
        <v>38759766.71</v>
      </c>
      <c r="I110" s="27">
        <f t="shared" si="5"/>
        <v>0</v>
      </c>
      <c r="J110" s="27">
        <f>Bilanca!I118</f>
        <v>9784631</v>
      </c>
      <c r="K110" s="27">
        <f>Bilanca!J118</f>
        <v>12887394</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t="str">
        <f>IF(Bilanca!H125=0,"",Bilanca!H125)</f>
        <v>14.1</v>
      </c>
      <c r="H117" s="26">
        <f t="shared" si="4"/>
        <v>1175307.36</v>
      </c>
      <c r="I117" s="27">
        <f t="shared" si="5"/>
        <v>0</v>
      </c>
      <c r="J117" s="27">
        <f>Bilanca!I125</f>
        <v>22002</v>
      </c>
      <c r="K117" s="27">
        <f>Bilanca!J125</f>
        <v>495597</v>
      </c>
    </row>
    <row r="118" spans="4:11" ht="12.75">
      <c r="D118" s="4" t="s">
        <v>554</v>
      </c>
      <c r="E118" s="4">
        <v>1</v>
      </c>
      <c r="F118" s="4">
        <f>Bilanca!G126</f>
        <v>117</v>
      </c>
      <c r="G118" s="4" t="str">
        <f>IF(Bilanca!H126=0,"",Bilanca!H126)</f>
        <v>14.2</v>
      </c>
      <c r="H118" s="26">
        <f t="shared" si="4"/>
        <v>18588483.81</v>
      </c>
      <c r="I118" s="27">
        <f t="shared" si="5"/>
        <v>0</v>
      </c>
      <c r="J118" s="27">
        <f>Bilanca!I126</f>
        <v>5236507</v>
      </c>
      <c r="K118" s="27">
        <f>Bilanca!J126</f>
        <v>5325543</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t="str">
        <f>IF(Bilanca!H128=0,"",Bilanca!H128)</f>
        <v>14.3</v>
      </c>
      <c r="H120" s="26">
        <f t="shared" si="4"/>
        <v>11551462.09</v>
      </c>
      <c r="I120" s="27">
        <f t="shared" si="5"/>
        <v>0</v>
      </c>
      <c r="J120" s="27">
        <f>Bilanca!I128</f>
        <v>2479197</v>
      </c>
      <c r="K120" s="27">
        <f>Bilanca!J128</f>
        <v>3613957</v>
      </c>
    </row>
    <row r="121" spans="4:11" ht="12.75">
      <c r="D121" s="4" t="s">
        <v>554</v>
      </c>
      <c r="E121" s="4">
        <v>1</v>
      </c>
      <c r="F121" s="4">
        <f>Bilanca!G129</f>
        <v>120</v>
      </c>
      <c r="G121" s="4" t="str">
        <f>IF(Bilanca!H129=0,"",Bilanca!H129)</f>
        <v>14.3</v>
      </c>
      <c r="H121" s="26">
        <f t="shared" si="4"/>
        <v>9848600.4</v>
      </c>
      <c r="I121" s="27">
        <f t="shared" si="5"/>
        <v>0</v>
      </c>
      <c r="J121" s="27">
        <f>Bilanca!I129</f>
        <v>1794085</v>
      </c>
      <c r="K121" s="27">
        <f>Bilanca!J129</f>
        <v>3206541</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t="str">
        <f>IF(Bilanca!H132=0,"",Bilanca!H132)</f>
        <v>14.3</v>
      </c>
      <c r="H124" s="26">
        <f t="shared" si="4"/>
        <v>915552.96</v>
      </c>
      <c r="I124" s="27">
        <f t="shared" si="5"/>
        <v>0</v>
      </c>
      <c r="J124" s="27">
        <f>Bilanca!I132</f>
        <v>252840</v>
      </c>
      <c r="K124" s="27">
        <f>Bilanca!J132</f>
        <v>245756</v>
      </c>
    </row>
    <row r="125" spans="4:11" ht="12.75">
      <c r="D125" s="4" t="s">
        <v>554</v>
      </c>
      <c r="E125" s="4">
        <v>1</v>
      </c>
      <c r="F125" s="4">
        <f>Bilanca!G133</f>
        <v>124</v>
      </c>
      <c r="G125" s="4" t="str">
        <f>IF(Bilanca!H133=0,"",Bilanca!H133)</f>
        <v>15</v>
      </c>
      <c r="H125" s="26">
        <f t="shared" si="4"/>
        <v>56567597.2</v>
      </c>
      <c r="I125" s="27">
        <f t="shared" si="5"/>
        <v>0</v>
      </c>
      <c r="J125" s="27">
        <f>Bilanca!I133</f>
        <v>15517914</v>
      </c>
      <c r="K125" s="27">
        <f>Bilanca!J133</f>
        <v>15050558</v>
      </c>
    </row>
    <row r="126" spans="4:11" ht="12.75">
      <c r="D126" s="4" t="s">
        <v>554</v>
      </c>
      <c r="E126" s="4">
        <v>1</v>
      </c>
      <c r="F126" s="4">
        <f>Bilanca!G134</f>
        <v>125</v>
      </c>
      <c r="G126" s="4">
        <f>IF(Bilanca!H134=0,"",Bilanca!H134)</f>
      </c>
      <c r="H126" s="26">
        <f t="shared" si="4"/>
        <v>638678243.75</v>
      </c>
      <c r="I126" s="27">
        <f t="shared" si="5"/>
        <v>0</v>
      </c>
      <c r="J126" s="27">
        <f>Bilanca!I134</f>
        <v>167261877</v>
      </c>
      <c r="K126" s="27">
        <f>Bilanca!J134</f>
        <v>171840359</v>
      </c>
    </row>
    <row r="127" spans="4:11" ht="12.75">
      <c r="D127" s="4" t="s">
        <v>554</v>
      </c>
      <c r="E127" s="4">
        <v>1</v>
      </c>
      <c r="F127" s="4">
        <f>Bilanca!G135</f>
        <v>126</v>
      </c>
      <c r="G127" s="4">
        <f>IF(Bilanca!H135=0,"",Bilanca!H135)</f>
      </c>
      <c r="H127" s="26">
        <f t="shared" si="4"/>
        <v>819908.46</v>
      </c>
      <c r="I127" s="27">
        <f t="shared" si="5"/>
        <v>0</v>
      </c>
      <c r="J127" s="27">
        <f>Bilanca!I135</f>
        <v>219377</v>
      </c>
      <c r="K127" s="27">
        <f>Bilanca!J135</f>
        <v>215672</v>
      </c>
    </row>
    <row r="128" spans="4:11" ht="12.75">
      <c r="D128" s="4" t="s">
        <v>794</v>
      </c>
      <c r="E128" s="4">
        <v>2</v>
      </c>
      <c r="F128" s="4">
        <f>RDG!G8</f>
        <v>127</v>
      </c>
      <c r="G128" s="4" t="str">
        <f>IF(RDG!H8=0,"",RDG!H8)</f>
        <v>16</v>
      </c>
      <c r="H128" s="26">
        <f t="shared" si="4"/>
        <v>333376324.61</v>
      </c>
      <c r="I128" s="4">
        <f t="shared" si="5"/>
        <v>0</v>
      </c>
      <c r="J128" s="27">
        <f>RDG!I8</f>
        <v>78720243</v>
      </c>
      <c r="K128" s="27">
        <f>RDG!J8</f>
        <v>91890400</v>
      </c>
    </row>
    <row r="129" spans="4:11" ht="12.75">
      <c r="D129" s="4" t="s">
        <v>794</v>
      </c>
      <c r="E129" s="4">
        <v>2</v>
      </c>
      <c r="F129" s="4">
        <f>RDG!G9</f>
        <v>128</v>
      </c>
      <c r="G129" s="4" t="str">
        <f>IF(RDG!H9=0,"",RDG!H9)</f>
        <v>16.1</v>
      </c>
      <c r="H129" s="26">
        <f t="shared" si="4"/>
        <v>115200</v>
      </c>
      <c r="I129" s="4">
        <f t="shared" si="5"/>
        <v>0</v>
      </c>
      <c r="J129" s="27">
        <f>RDG!I9</f>
        <v>30000</v>
      </c>
      <c r="K129" s="27">
        <f>RDG!J9</f>
        <v>30000</v>
      </c>
    </row>
    <row r="130" spans="4:11" ht="12.75">
      <c r="D130" s="4" t="s">
        <v>794</v>
      </c>
      <c r="E130" s="4">
        <v>2</v>
      </c>
      <c r="F130" s="4">
        <f>RDG!G10</f>
        <v>129</v>
      </c>
      <c r="G130" s="4" t="str">
        <f>IF(RDG!H10=0,"",RDG!H10)</f>
        <v>16.1</v>
      </c>
      <c r="H130" s="26">
        <f aca="true" t="shared" si="6" ref="H130:H192">J130/100*F130+2*K130/100*F130</f>
        <v>330787052.88</v>
      </c>
      <c r="I130" s="4">
        <f aca="true" t="shared" si="7" ref="I130:I192">ABS(ROUND(J130,0)-J130)+ABS(ROUND(K130,0)-K130)</f>
        <v>0</v>
      </c>
      <c r="J130" s="27">
        <f>RDG!I10</f>
        <v>76645260</v>
      </c>
      <c r="K130" s="27">
        <f>RDG!J10</f>
        <v>89889406</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t="str">
        <f>IF(RDG!H12=0,"",RDG!H12)</f>
        <v>16.2</v>
      </c>
      <c r="H132" s="26">
        <f t="shared" si="6"/>
        <v>92351.06999999999</v>
      </c>
      <c r="I132" s="4">
        <f t="shared" si="7"/>
        <v>0</v>
      </c>
      <c r="J132" s="27">
        <f>RDG!I12</f>
        <v>18393</v>
      </c>
      <c r="K132" s="27">
        <f>RDG!J12</f>
        <v>26052</v>
      </c>
    </row>
    <row r="133" spans="4:11" ht="12.75">
      <c r="D133" s="4" t="s">
        <v>794</v>
      </c>
      <c r="E133" s="4">
        <v>2</v>
      </c>
      <c r="F133" s="4">
        <f>RDG!G13</f>
        <v>132</v>
      </c>
      <c r="G133" s="4" t="str">
        <f>IF(RDG!H13=0,"",RDG!H13)</f>
        <v>16.2</v>
      </c>
      <c r="H133" s="26">
        <f t="shared" si="6"/>
        <v>7809745.68</v>
      </c>
      <c r="I133" s="4">
        <f t="shared" si="7"/>
        <v>0</v>
      </c>
      <c r="J133" s="27">
        <f>RDG!I13</f>
        <v>2026590</v>
      </c>
      <c r="K133" s="27">
        <f>RDG!J13</f>
        <v>1944942</v>
      </c>
    </row>
    <row r="134" spans="4:11" ht="12.75">
      <c r="D134" s="4" t="s">
        <v>794</v>
      </c>
      <c r="E134" s="4">
        <v>2</v>
      </c>
      <c r="F134" s="4">
        <f>RDG!G14</f>
        <v>133</v>
      </c>
      <c r="G134" s="4" t="str">
        <f>IF(RDG!H14=0,"",RDG!H14)</f>
        <v>17</v>
      </c>
      <c r="H134" s="26">
        <f t="shared" si="6"/>
        <v>313841669.4</v>
      </c>
      <c r="I134" s="4">
        <f t="shared" si="7"/>
        <v>0</v>
      </c>
      <c r="J134" s="27">
        <f>RDG!I14</f>
        <v>71824892</v>
      </c>
      <c r="K134" s="27">
        <f>RDG!J14</f>
        <v>82073144</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t="str">
        <f>IF(RDG!H16=0,"",RDG!H16)</f>
        <v>17.1</v>
      </c>
      <c r="H136" s="26">
        <f t="shared" si="6"/>
        <v>60439076.1</v>
      </c>
      <c r="I136" s="4">
        <f t="shared" si="7"/>
        <v>0</v>
      </c>
      <c r="J136" s="27">
        <f>RDG!I16</f>
        <v>13096240</v>
      </c>
      <c r="K136" s="27">
        <f>RDG!J16</f>
        <v>15836723</v>
      </c>
    </row>
    <row r="137" spans="4:11" ht="12.75">
      <c r="D137" s="4" t="s">
        <v>794</v>
      </c>
      <c r="E137" s="4">
        <v>2</v>
      </c>
      <c r="F137" s="4">
        <f>RDG!G17</f>
        <v>136</v>
      </c>
      <c r="G137" s="4">
        <f>IF(RDG!H17=0,"",RDG!H17)</f>
      </c>
      <c r="H137" s="26">
        <f t="shared" si="6"/>
        <v>29550615.84</v>
      </c>
      <c r="I137" s="4">
        <f t="shared" si="7"/>
        <v>0</v>
      </c>
      <c r="J137" s="27">
        <f>RDG!I17</f>
        <v>5425288</v>
      </c>
      <c r="K137" s="27">
        <f>RDG!J17</f>
        <v>8151553</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t="str">
        <f>IF(RDG!H19=0,"",RDG!H19)</f>
        <v>17.2</v>
      </c>
      <c r="H139" s="26">
        <f t="shared" si="6"/>
        <v>31796982.96</v>
      </c>
      <c r="I139" s="4">
        <f t="shared" si="7"/>
        <v>0</v>
      </c>
      <c r="J139" s="27">
        <f>RDG!I19</f>
        <v>7670952</v>
      </c>
      <c r="K139" s="27">
        <f>RDG!J19</f>
        <v>7685170</v>
      </c>
    </row>
    <row r="140" spans="4:11" ht="12.75">
      <c r="D140" s="4" t="s">
        <v>794</v>
      </c>
      <c r="E140" s="4">
        <v>2</v>
      </c>
      <c r="F140" s="4">
        <f>RDG!G20</f>
        <v>139</v>
      </c>
      <c r="G140" s="4">
        <f>IF(RDG!H20=0,"",RDG!H20)</f>
      </c>
      <c r="H140" s="26">
        <f t="shared" si="6"/>
        <v>168269815.19</v>
      </c>
      <c r="I140" s="4">
        <f t="shared" si="7"/>
        <v>0</v>
      </c>
      <c r="J140" s="27">
        <f>RDG!I20</f>
        <v>35993761</v>
      </c>
      <c r="K140" s="27">
        <f>RDG!J20</f>
        <v>42531830</v>
      </c>
    </row>
    <row r="141" spans="4:11" ht="12.75">
      <c r="D141" s="4" t="s">
        <v>794</v>
      </c>
      <c r="E141" s="4">
        <v>2</v>
      </c>
      <c r="F141" s="4">
        <f>RDG!G21</f>
        <v>140</v>
      </c>
      <c r="G141" s="4">
        <f>IF(RDG!H21=0,"",RDG!H21)</f>
      </c>
      <c r="H141" s="26">
        <f t="shared" si="6"/>
        <v>105363130.60000001</v>
      </c>
      <c r="I141" s="4">
        <f t="shared" si="7"/>
        <v>0</v>
      </c>
      <c r="J141" s="27">
        <f>RDG!I21</f>
        <v>22644115</v>
      </c>
      <c r="K141" s="27">
        <f>RDG!J21</f>
        <v>26307632</v>
      </c>
    </row>
    <row r="142" spans="4:11" ht="12.75">
      <c r="D142" s="4" t="s">
        <v>794</v>
      </c>
      <c r="E142" s="4">
        <v>2</v>
      </c>
      <c r="F142" s="4">
        <f>RDG!G22</f>
        <v>141</v>
      </c>
      <c r="G142" s="4">
        <f>IF(RDG!H22=0,"",RDG!H22)</f>
      </c>
      <c r="H142" s="26">
        <f t="shared" si="6"/>
        <v>39963245.06999999</v>
      </c>
      <c r="I142" s="4">
        <f t="shared" si="7"/>
        <v>0</v>
      </c>
      <c r="J142" s="27">
        <f>RDG!I22</f>
        <v>8133915</v>
      </c>
      <c r="K142" s="27">
        <f>RDG!J22</f>
        <v>10104406</v>
      </c>
    </row>
    <row r="143" spans="4:11" ht="12.75">
      <c r="D143" s="4" t="s">
        <v>794</v>
      </c>
      <c r="E143" s="4">
        <v>2</v>
      </c>
      <c r="F143" s="4">
        <f>RDG!G23</f>
        <v>142</v>
      </c>
      <c r="G143" s="4">
        <f>IF(RDG!H23=0,"",RDG!H23)</f>
      </c>
      <c r="H143" s="26">
        <f t="shared" si="6"/>
        <v>24786547.3</v>
      </c>
      <c r="I143" s="4">
        <f t="shared" si="7"/>
        <v>0</v>
      </c>
      <c r="J143" s="27">
        <f>RDG!I23</f>
        <v>5215731</v>
      </c>
      <c r="K143" s="27">
        <f>RDG!J23</f>
        <v>6119792</v>
      </c>
    </row>
    <row r="144" spans="4:11" ht="12.75">
      <c r="D144" s="4" t="s">
        <v>794</v>
      </c>
      <c r="E144" s="4">
        <v>2</v>
      </c>
      <c r="F144" s="4">
        <f>RDG!G24</f>
        <v>143</v>
      </c>
      <c r="G144" s="4" t="str">
        <f>IF(RDG!H24=0,"",RDG!H24)</f>
        <v>4.2</v>
      </c>
      <c r="H144" s="26">
        <f t="shared" si="6"/>
        <v>40635286.12</v>
      </c>
      <c r="I144" s="4">
        <f t="shared" si="7"/>
        <v>0</v>
      </c>
      <c r="J144" s="27">
        <f>RDG!I24</f>
        <v>9383928</v>
      </c>
      <c r="K144" s="27">
        <f>RDG!J24</f>
        <v>9516178</v>
      </c>
    </row>
    <row r="145" spans="4:11" ht="12.75">
      <c r="D145" s="4" t="s">
        <v>794</v>
      </c>
      <c r="E145" s="4">
        <v>2</v>
      </c>
      <c r="F145" s="4">
        <f>RDG!G25</f>
        <v>144</v>
      </c>
      <c r="G145" s="4" t="str">
        <f>IF(RDG!H25=0,"",RDG!H25)</f>
        <v>17.3</v>
      </c>
      <c r="H145" s="26">
        <f t="shared" si="6"/>
        <v>55342173.6</v>
      </c>
      <c r="I145" s="4">
        <f t="shared" si="7"/>
        <v>0</v>
      </c>
      <c r="J145" s="27">
        <f>RDG!I25</f>
        <v>11909119</v>
      </c>
      <c r="K145" s="27">
        <f>RDG!J25</f>
        <v>13261473</v>
      </c>
    </row>
    <row r="146" spans="4:11" ht="12.75">
      <c r="D146" s="4" t="s">
        <v>794</v>
      </c>
      <c r="E146" s="4">
        <v>2</v>
      </c>
      <c r="F146" s="4">
        <f>RDG!G26</f>
        <v>145</v>
      </c>
      <c r="G146" s="4">
        <f>IF(RDG!H26=0,"",RDG!H26)</f>
      </c>
      <c r="H146" s="26">
        <f t="shared" si="6"/>
        <v>2854881.8000000003</v>
      </c>
      <c r="I146" s="4">
        <f t="shared" si="7"/>
        <v>0</v>
      </c>
      <c r="J146" s="27">
        <f>RDG!I26</f>
        <v>817122</v>
      </c>
      <c r="K146" s="27">
        <f>RDG!J26</f>
        <v>575881</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2894259.4800000004</v>
      </c>
      <c r="I148" s="4">
        <f t="shared" si="7"/>
        <v>0</v>
      </c>
      <c r="J148" s="27">
        <f>RDG!I28</f>
        <v>817122</v>
      </c>
      <c r="K148" s="27">
        <f>RDG!J28</f>
        <v>575881</v>
      </c>
    </row>
    <row r="149" spans="4:11" ht="12.75">
      <c r="D149" s="4" t="s">
        <v>794</v>
      </c>
      <c r="E149" s="4">
        <v>2</v>
      </c>
      <c r="F149" s="4">
        <f>RDG!G29</f>
        <v>148</v>
      </c>
      <c r="G149" s="4">
        <f>IF(RDG!H29=0,"",RDG!H29)</f>
      </c>
      <c r="H149" s="26">
        <f t="shared" si="6"/>
        <v>319680</v>
      </c>
      <c r="I149" s="4">
        <f t="shared" si="7"/>
        <v>0</v>
      </c>
      <c r="J149" s="27">
        <f>RDG!I29</f>
        <v>0</v>
      </c>
      <c r="K149" s="27">
        <f>RDG!J29</f>
        <v>108000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326160</v>
      </c>
      <c r="I152" s="4">
        <f t="shared" si="7"/>
        <v>0</v>
      </c>
      <c r="J152" s="27">
        <f>RDG!I32</f>
        <v>0</v>
      </c>
      <c r="K152" s="27">
        <f>RDG!J32</f>
        <v>108000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1721802</v>
      </c>
      <c r="I156" s="4">
        <f t="shared" si="7"/>
        <v>0</v>
      </c>
      <c r="J156" s="27">
        <f>RDG!I36</f>
        <v>624722</v>
      </c>
      <c r="K156" s="27">
        <f>RDG!J36</f>
        <v>243059</v>
      </c>
    </row>
    <row r="157" spans="4:11" ht="12.75">
      <c r="D157" s="4" t="s">
        <v>794</v>
      </c>
      <c r="E157" s="4">
        <v>2</v>
      </c>
      <c r="F157" s="4">
        <f>RDG!G37</f>
        <v>156</v>
      </c>
      <c r="G157" s="4" t="str">
        <f>IF(RDG!H37=0,"",RDG!H37)</f>
        <v>18</v>
      </c>
      <c r="H157" s="26">
        <f t="shared" si="6"/>
        <v>904101.1199999999</v>
      </c>
      <c r="I157" s="4">
        <f t="shared" si="7"/>
        <v>0</v>
      </c>
      <c r="J157" s="27">
        <f>RDG!I37</f>
        <v>154562</v>
      </c>
      <c r="K157" s="27">
        <f>RDG!J37</f>
        <v>212495</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123695.04</v>
      </c>
      <c r="I159" s="4">
        <f t="shared" si="7"/>
        <v>0</v>
      </c>
      <c r="J159" s="27">
        <f>RDG!I39</f>
        <v>0</v>
      </c>
      <c r="K159" s="27">
        <f>RDG!J39</f>
        <v>39144</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504</v>
      </c>
      <c r="I161" s="4">
        <f t="shared" si="7"/>
        <v>0</v>
      </c>
      <c r="J161" s="27">
        <f>RDG!I41</f>
        <v>315</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73773.8</v>
      </c>
      <c r="I164" s="4">
        <f t="shared" si="7"/>
        <v>0</v>
      </c>
      <c r="J164" s="27">
        <f>RDG!I44</f>
        <v>22630</v>
      </c>
      <c r="K164" s="27">
        <f>RDG!J44</f>
        <v>11315</v>
      </c>
    </row>
    <row r="165" spans="4:11" ht="12.75">
      <c r="D165" s="4" t="s">
        <v>794</v>
      </c>
      <c r="E165" s="4">
        <v>2</v>
      </c>
      <c r="F165" s="4">
        <f>RDG!G45</f>
        <v>164</v>
      </c>
      <c r="G165" s="4">
        <f>IF(RDG!H45=0,"",RDG!H45)</f>
      </c>
      <c r="H165" s="26">
        <f t="shared" si="6"/>
        <v>747329.96</v>
      </c>
      <c r="I165" s="4">
        <f t="shared" si="7"/>
        <v>0</v>
      </c>
      <c r="J165" s="27">
        <f>RDG!I45</f>
        <v>131617</v>
      </c>
      <c r="K165" s="27">
        <f>RDG!J45</f>
        <v>162036</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t="str">
        <f>IF(RDG!H48=0,"",RDG!H48)</f>
        <v>19</v>
      </c>
      <c r="H168" s="26">
        <f t="shared" si="6"/>
        <v>1134471.08</v>
      </c>
      <c r="I168" s="4">
        <f t="shared" si="7"/>
        <v>0</v>
      </c>
      <c r="J168" s="27">
        <f>RDG!I48</f>
        <v>239960</v>
      </c>
      <c r="K168" s="27">
        <f>RDG!J48</f>
        <v>219682</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583742.6</v>
      </c>
      <c r="I171" s="4">
        <f t="shared" si="7"/>
        <v>0</v>
      </c>
      <c r="J171" s="27">
        <f>RDG!I51</f>
        <v>71036</v>
      </c>
      <c r="K171" s="27">
        <f>RDG!J51</f>
        <v>136171</v>
      </c>
    </row>
    <row r="172" spans="4:11" ht="12.75">
      <c r="D172" s="4" t="s">
        <v>794</v>
      </c>
      <c r="E172" s="4">
        <v>2</v>
      </c>
      <c r="F172" s="4">
        <f>RDG!G52</f>
        <v>171</v>
      </c>
      <c r="G172" s="4">
        <f>IF(RDG!H52=0,"",RDG!H52)</f>
      </c>
      <c r="H172" s="26">
        <f t="shared" si="6"/>
        <v>574467.6599999999</v>
      </c>
      <c r="I172" s="4">
        <f t="shared" si="7"/>
        <v>0</v>
      </c>
      <c r="J172" s="27">
        <f>RDG!I52</f>
        <v>168924</v>
      </c>
      <c r="K172" s="27">
        <f>RDG!J52</f>
        <v>83511</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470914265.04999995</v>
      </c>
      <c r="I180" s="4">
        <f t="shared" si="7"/>
        <v>0</v>
      </c>
      <c r="J180" s="27">
        <f>RDG!I60</f>
        <v>78874805</v>
      </c>
      <c r="K180" s="27">
        <f>RDG!J60</f>
        <v>92102895</v>
      </c>
    </row>
    <row r="181" spans="4:11" ht="12.75">
      <c r="D181" s="4" t="s">
        <v>794</v>
      </c>
      <c r="E181" s="4">
        <v>2</v>
      </c>
      <c r="F181" s="4">
        <f>RDG!G61</f>
        <v>180</v>
      </c>
      <c r="G181" s="4">
        <f>IF(RDG!H61=0,"",RDG!H61)</f>
      </c>
      <c r="H181" s="26">
        <f t="shared" si="6"/>
        <v>425970907.20000005</v>
      </c>
      <c r="I181" s="4">
        <f t="shared" si="7"/>
        <v>0</v>
      </c>
      <c r="J181" s="27">
        <f>RDG!I61</f>
        <v>72064852</v>
      </c>
      <c r="K181" s="27">
        <f>RDG!J61</f>
        <v>82292826</v>
      </c>
    </row>
    <row r="182" spans="4:11" ht="12.75">
      <c r="D182" s="4" t="s">
        <v>794</v>
      </c>
      <c r="E182" s="4">
        <v>2</v>
      </c>
      <c r="F182" s="4">
        <f>RDG!G62</f>
        <v>181</v>
      </c>
      <c r="G182" s="4">
        <f>IF(RDG!H62=0,"",RDG!H62)</f>
      </c>
      <c r="H182" s="26">
        <f t="shared" si="6"/>
        <v>47838464.71</v>
      </c>
      <c r="I182" s="4">
        <f t="shared" si="7"/>
        <v>0</v>
      </c>
      <c r="J182" s="27">
        <f>RDG!I62</f>
        <v>6809953</v>
      </c>
      <c r="K182" s="27">
        <f>RDG!J62</f>
        <v>9810069</v>
      </c>
    </row>
    <row r="183" spans="4:11" ht="12.75">
      <c r="D183" s="4" t="s">
        <v>794</v>
      </c>
      <c r="E183" s="4">
        <v>2</v>
      </c>
      <c r="F183" s="4">
        <f>RDG!G63</f>
        <v>182</v>
      </c>
      <c r="G183" s="4" t="str">
        <f>IF(RDG!H63=0,"",RDG!H63)</f>
        <v>20</v>
      </c>
      <c r="H183" s="26">
        <f t="shared" si="6"/>
        <v>48102765.620000005</v>
      </c>
      <c r="I183" s="4">
        <f t="shared" si="7"/>
        <v>0</v>
      </c>
      <c r="J183" s="27">
        <f>RDG!I63</f>
        <v>6809953</v>
      </c>
      <c r="K183" s="27">
        <f>RDG!J63</f>
        <v>9810069</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t="str">
        <f>IF(RDG!H65=0,"",RDG!H65)</f>
        <v>20</v>
      </c>
      <c r="H185" s="26">
        <f t="shared" si="6"/>
        <v>7494827.84</v>
      </c>
      <c r="I185" s="4">
        <f t="shared" si="7"/>
        <v>0</v>
      </c>
      <c r="J185" s="27">
        <f>RDG!I65</f>
        <v>468292</v>
      </c>
      <c r="K185" s="27">
        <f>RDG!J65</f>
        <v>1802492</v>
      </c>
    </row>
    <row r="186" spans="4:11" ht="12.75">
      <c r="D186" s="4" t="s">
        <v>794</v>
      </c>
      <c r="E186" s="4">
        <v>2</v>
      </c>
      <c r="F186" s="4">
        <f>RDG!G66</f>
        <v>185</v>
      </c>
      <c r="G186" s="4" t="str">
        <f>IF(RDG!H66=0,"",RDG!H66)</f>
        <v>20</v>
      </c>
      <c r="H186" s="26">
        <f t="shared" si="6"/>
        <v>41360107.75</v>
      </c>
      <c r="I186" s="4">
        <f t="shared" si="7"/>
        <v>0</v>
      </c>
      <c r="J186" s="27">
        <f>RDG!I66</f>
        <v>6341661</v>
      </c>
      <c r="K186" s="27">
        <f>RDG!J66</f>
        <v>8007577</v>
      </c>
    </row>
    <row r="187" spans="4:11" ht="12.75">
      <c r="D187" s="4" t="s">
        <v>794</v>
      </c>
      <c r="E187" s="4">
        <v>2</v>
      </c>
      <c r="F187" s="4">
        <f>RDG!G67</f>
        <v>186</v>
      </c>
      <c r="G187" s="4" t="str">
        <f>IF(RDG!H67=0,"",RDG!H67)</f>
        <v>20</v>
      </c>
      <c r="H187" s="26">
        <f t="shared" si="6"/>
        <v>41583675.900000006</v>
      </c>
      <c r="I187" s="4">
        <f t="shared" si="7"/>
        <v>0</v>
      </c>
      <c r="J187" s="27">
        <f>RDG!I67</f>
        <v>6341661</v>
      </c>
      <c r="K187" s="27">
        <f>RDG!J67</f>
        <v>8007577</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t="str">
        <f>IF(RDG!H89=0,"",RDG!H89)</f>
        <v>20</v>
      </c>
      <c r="H205" s="26">
        <f t="shared" si="8"/>
        <v>45607902.6</v>
      </c>
      <c r="I205" s="4">
        <f t="shared" si="9"/>
        <v>0</v>
      </c>
      <c r="J205" s="27">
        <f>RDG!I89</f>
        <v>6341661</v>
      </c>
      <c r="K205" s="27">
        <f>RDG!J89</f>
        <v>8007577</v>
      </c>
    </row>
    <row r="206" spans="4:11" ht="12.75">
      <c r="D206" s="4" t="s">
        <v>794</v>
      </c>
      <c r="E206" s="4">
        <v>2</v>
      </c>
      <c r="F206" s="4">
        <f>RDG!G90</f>
        <v>205</v>
      </c>
      <c r="G206" s="4">
        <f>IF(RDG!H90=0,"",RDG!H90)</f>
      </c>
      <c r="H206" s="26">
        <f t="shared" si="8"/>
        <v>810073.8999999999</v>
      </c>
      <c r="I206" s="4">
        <f t="shared" si="9"/>
        <v>0</v>
      </c>
      <c r="J206" s="27">
        <f>RDG!I90</f>
        <v>88426</v>
      </c>
      <c r="K206" s="27">
        <f>RDG!J90</f>
        <v>153366</v>
      </c>
    </row>
    <row r="207" spans="4:11" ht="12.75">
      <c r="D207" s="4" t="s">
        <v>794</v>
      </c>
      <c r="E207" s="4">
        <v>2</v>
      </c>
      <c r="F207" s="4">
        <f>RDG!G91</f>
        <v>206</v>
      </c>
      <c r="G207" s="4" t="str">
        <f>IF(RDG!H91=0,"",RDG!H91)</f>
        <v>21</v>
      </c>
      <c r="H207" s="26">
        <f t="shared" si="8"/>
        <v>814025.48</v>
      </c>
      <c r="I207" s="4">
        <f t="shared" si="9"/>
        <v>0</v>
      </c>
      <c r="J207" s="27">
        <f>RDG!I91</f>
        <v>88426</v>
      </c>
      <c r="K207" s="27">
        <f>RDG!J91</f>
        <v>153366</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149165.12</v>
      </c>
      <c r="I209" s="4">
        <f t="shared" si="9"/>
        <v>0</v>
      </c>
      <c r="J209" s="27">
        <f>RDG!I93</f>
        <v>88426</v>
      </c>
      <c r="K209" s="27">
        <f>RDG!J93</f>
        <v>-8356</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679232.4</v>
      </c>
      <c r="I211" s="4">
        <f t="shared" si="11"/>
        <v>0</v>
      </c>
      <c r="J211" s="27">
        <f>RDG!I95</f>
        <v>0</v>
      </c>
      <c r="K211" s="27">
        <f>RDG!J95</f>
        <v>161722</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t="str">
        <f>IF(RDG!H98=0,"",RDG!H98)</f>
        <v>21</v>
      </c>
      <c r="H214" s="26">
        <f t="shared" si="10"/>
        <v>157911.81</v>
      </c>
      <c r="I214" s="4">
        <f t="shared" si="11"/>
        <v>0</v>
      </c>
      <c r="J214" s="27">
        <f>RDG!I98</f>
        <v>15917</v>
      </c>
      <c r="K214" s="27">
        <f>RDG!J98</f>
        <v>29110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t="str">
        <f>IF(RDG!H107=0,"",RDG!H107)</f>
        <v>21</v>
      </c>
      <c r="H223" s="26">
        <f t="shared" si="10"/>
        <v>164584.14</v>
      </c>
      <c r="I223" s="4">
        <f t="shared" si="11"/>
        <v>0</v>
      </c>
      <c r="J223" s="27">
        <f>RDG!I107</f>
        <v>15917</v>
      </c>
      <c r="K223" s="27">
        <f>RDG!J107</f>
        <v>29110</v>
      </c>
    </row>
    <row r="224" spans="4:11" ht="12.75">
      <c r="D224" s="4" t="s">
        <v>794</v>
      </c>
      <c r="E224" s="4">
        <v>2</v>
      </c>
      <c r="F224" s="4">
        <f>RDG!G108</f>
        <v>223</v>
      </c>
      <c r="G224" s="4" t="str">
        <f>IF(RDG!H108=0,"",RDG!H108)</f>
        <v>21</v>
      </c>
      <c r="H224" s="26">
        <f t="shared" si="8"/>
        <v>1046527.85</v>
      </c>
      <c r="I224" s="4">
        <f t="shared" si="9"/>
        <v>0</v>
      </c>
      <c r="J224" s="27">
        <f>RDG!I108</f>
        <v>104343</v>
      </c>
      <c r="K224" s="27">
        <f>RDG!J108</f>
        <v>182476</v>
      </c>
    </row>
    <row r="225" spans="4:11" ht="12.75">
      <c r="D225" s="4" t="s">
        <v>794</v>
      </c>
      <c r="E225" s="4">
        <v>2</v>
      </c>
      <c r="F225" s="4">
        <f>RDG!G109</f>
        <v>224</v>
      </c>
      <c r="G225" s="4" t="str">
        <f>IF(RDG!H109=0,"",RDG!H109)</f>
        <v>21</v>
      </c>
      <c r="H225" s="26">
        <f t="shared" si="8"/>
        <v>51130486.4</v>
      </c>
      <c r="I225" s="4">
        <f t="shared" si="9"/>
        <v>0</v>
      </c>
      <c r="J225" s="27">
        <f>RDG!I109</f>
        <v>6446004</v>
      </c>
      <c r="K225" s="27">
        <f>RDG!J109</f>
        <v>8190053</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2644464.49</v>
      </c>
      <c r="I349" s="4">
        <f>ABS(ROUND(J349,0)-J349)+ABS(ROUND(K349,0)-K349)</f>
        <v>0</v>
      </c>
      <c r="J349" s="27">
        <f>NT_D!I9</f>
        <v>77329893</v>
      </c>
      <c r="K349" s="27">
        <f>NT_D!J9</f>
        <v>93558278</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35816.61</v>
      </c>
      <c r="I351" s="4">
        <f aca="true" t="shared" si="23" ref="I351:I392">ABS(ROUND(J351,0)-J351)+ABS(ROUND(K351,0)-K351)</f>
        <v>0</v>
      </c>
      <c r="J351" s="27">
        <f>NT_D!I11</f>
        <v>589347</v>
      </c>
      <c r="K351" s="27">
        <f>NT_D!J11</f>
        <v>302270</v>
      </c>
    </row>
    <row r="352" spans="4:11" ht="12.75">
      <c r="D352" s="4" t="s">
        <v>557</v>
      </c>
      <c r="E352" s="4">
        <v>5</v>
      </c>
      <c r="F352" s="28">
        <f>NT_D!G12</f>
        <v>4</v>
      </c>
      <c r="G352" s="28">
        <f>IF(NT_D!H12&lt;&gt;"",NT_D!H12,"")</f>
      </c>
      <c r="H352" s="26">
        <f t="shared" si="22"/>
        <v>284997.2</v>
      </c>
      <c r="I352" s="4">
        <f t="shared" si="23"/>
        <v>0</v>
      </c>
      <c r="J352" s="27">
        <f>NT_D!I12</f>
        <v>1604930</v>
      </c>
      <c r="K352" s="27">
        <f>NT_D!J12</f>
        <v>2760000</v>
      </c>
    </row>
    <row r="353" spans="4:11" ht="12.75">
      <c r="D353" s="4" t="s">
        <v>557</v>
      </c>
      <c r="E353" s="4">
        <v>5</v>
      </c>
      <c r="F353" s="28">
        <f>NT_D!G13</f>
        <v>5</v>
      </c>
      <c r="G353" s="28">
        <f>IF(NT_D!H13&lt;&gt;"",NT_D!H13,"")</f>
      </c>
      <c r="H353" s="26">
        <f t="shared" si="22"/>
        <v>281126.15</v>
      </c>
      <c r="I353" s="4">
        <f t="shared" si="23"/>
        <v>0</v>
      </c>
      <c r="J353" s="27">
        <f>NT_D!I13</f>
        <v>3426239</v>
      </c>
      <c r="K353" s="27">
        <f>NT_D!J13</f>
        <v>1098142</v>
      </c>
    </row>
    <row r="354" spans="4:11" ht="12.75">
      <c r="D354" s="4" t="s">
        <v>557</v>
      </c>
      <c r="E354" s="4">
        <v>5</v>
      </c>
      <c r="F354" s="28">
        <f>NT_D!G14</f>
        <v>6</v>
      </c>
      <c r="G354" s="28">
        <f>IF(NT_D!H14&lt;&gt;"",NT_D!H14,"")</f>
      </c>
      <c r="H354" s="26">
        <f t="shared" si="22"/>
        <v>16703267.34</v>
      </c>
      <c r="I354" s="4">
        <f t="shared" si="23"/>
        <v>0</v>
      </c>
      <c r="J354" s="27">
        <f>NT_D!I14</f>
        <v>82950409</v>
      </c>
      <c r="K354" s="27">
        <f>NT_D!J14</f>
        <v>97718690</v>
      </c>
    </row>
    <row r="355" spans="4:11" ht="12.75">
      <c r="D355" s="4" t="s">
        <v>557</v>
      </c>
      <c r="E355" s="4">
        <v>5</v>
      </c>
      <c r="F355" s="28">
        <f>NT_D!G15</f>
        <v>7</v>
      </c>
      <c r="G355" s="28">
        <f>IF(NT_D!H15&lt;&gt;"",NT_D!H15,"")</f>
      </c>
      <c r="H355" s="26">
        <f t="shared" si="22"/>
        <v>-5233510.869999999</v>
      </c>
      <c r="I355" s="4">
        <f t="shared" si="23"/>
        <v>0</v>
      </c>
      <c r="J355" s="27">
        <f>NT_D!I15</f>
        <v>-24041225</v>
      </c>
      <c r="K355" s="27">
        <f>NT_D!J15</f>
        <v>-25361608</v>
      </c>
    </row>
    <row r="356" spans="4:11" ht="12.75">
      <c r="D356" s="4" t="s">
        <v>557</v>
      </c>
      <c r="E356" s="4">
        <v>5</v>
      </c>
      <c r="F356" s="28">
        <f>NT_D!G16</f>
        <v>8</v>
      </c>
      <c r="G356" s="28">
        <f>IF(NT_D!H16&lt;&gt;"",NT_D!H16,"")</f>
      </c>
      <c r="H356" s="26">
        <f t="shared" si="22"/>
        <v>-11642845.2</v>
      </c>
      <c r="I356" s="4">
        <f t="shared" si="23"/>
        <v>0</v>
      </c>
      <c r="J356" s="27">
        <f>NT_D!I16</f>
        <v>-45121517</v>
      </c>
      <c r="K356" s="27">
        <f>NT_D!J16</f>
        <v>-50207024</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-27153.499999999996</v>
      </c>
      <c r="I358" s="4">
        <f t="shared" si="23"/>
        <v>0</v>
      </c>
      <c r="J358" s="27">
        <f>NT_D!I18</f>
        <v>-21</v>
      </c>
      <c r="K358" s="27">
        <f>NT_D!J18</f>
        <v>-135757</v>
      </c>
    </row>
    <row r="359" spans="4:11" ht="12.75">
      <c r="D359" s="4" t="s">
        <v>557</v>
      </c>
      <c r="E359" s="4">
        <v>5</v>
      </c>
      <c r="F359" s="28">
        <f>NT_D!G19</f>
        <v>11</v>
      </c>
      <c r="G359" s="28">
        <f>IF(NT_D!H19&lt;&gt;"",NT_D!H19,"")</f>
      </c>
      <c r="H359" s="26">
        <f t="shared" si="22"/>
        <v>-185114.16</v>
      </c>
      <c r="I359" s="4">
        <f t="shared" si="23"/>
        <v>0</v>
      </c>
      <c r="J359" s="27">
        <f>NT_D!I19</f>
        <v>0</v>
      </c>
      <c r="K359" s="27">
        <f>NT_D!J19</f>
        <v>-841428</v>
      </c>
    </row>
    <row r="360" spans="4:11" ht="12.75">
      <c r="D360" s="4" t="s">
        <v>557</v>
      </c>
      <c r="E360" s="4">
        <v>5</v>
      </c>
      <c r="F360" s="28">
        <f>NT_D!G20</f>
        <v>12</v>
      </c>
      <c r="G360" s="28">
        <f>IF(NT_D!H20&lt;&gt;"",NT_D!H20,"")</f>
      </c>
      <c r="H360" s="26">
        <f t="shared" si="22"/>
        <v>-1652844.96</v>
      </c>
      <c r="I360" s="4">
        <f t="shared" si="23"/>
        <v>0</v>
      </c>
      <c r="J360" s="27">
        <f>NT_D!I20</f>
        <v>-3945676</v>
      </c>
      <c r="K360" s="27">
        <f>NT_D!J20</f>
        <v>-4914016</v>
      </c>
    </row>
    <row r="361" spans="4:11" ht="12.75">
      <c r="D361" s="4" t="s">
        <v>557</v>
      </c>
      <c r="E361" s="4">
        <v>5</v>
      </c>
      <c r="F361" s="28">
        <f>NT_D!G21</f>
        <v>13</v>
      </c>
      <c r="G361" s="28">
        <f>IF(NT_D!H21&lt;&gt;"",NT_D!H21,"")</f>
      </c>
      <c r="H361" s="26">
        <f t="shared" si="22"/>
        <v>-30683653.65</v>
      </c>
      <c r="I361" s="4">
        <f t="shared" si="23"/>
        <v>0</v>
      </c>
      <c r="J361" s="27">
        <f>NT_D!I21</f>
        <v>-73108439</v>
      </c>
      <c r="K361" s="27">
        <f>NT_D!J21</f>
        <v>-81459833</v>
      </c>
    </row>
    <row r="362" spans="4:11" ht="12.75">
      <c r="D362" s="4" t="s">
        <v>557</v>
      </c>
      <c r="E362" s="4">
        <v>5</v>
      </c>
      <c r="F362" s="28">
        <f>NT_D!G22</f>
        <v>14</v>
      </c>
      <c r="G362" s="28">
        <f>IF(NT_D!H22&lt;&gt;"",NT_D!H22,"")</f>
      </c>
      <c r="H362" s="26">
        <f t="shared" si="22"/>
        <v>5930355.76</v>
      </c>
      <c r="I362" s="4">
        <f t="shared" si="23"/>
        <v>0</v>
      </c>
      <c r="J362" s="27">
        <f>NT_D!I22</f>
        <v>9841970</v>
      </c>
      <c r="K362" s="27">
        <f>NT_D!J22</f>
        <v>16258857</v>
      </c>
    </row>
    <row r="363" spans="4:11" ht="12.75">
      <c r="D363" s="4" t="s">
        <v>557</v>
      </c>
      <c r="E363" s="4">
        <v>5</v>
      </c>
      <c r="F363" s="28">
        <f>NT_D!G24</f>
        <v>15</v>
      </c>
      <c r="G363" s="28">
        <f>IF(NT_D!H24&lt;&gt;"",NT_D!H24,"")</f>
      </c>
      <c r="H363" s="26">
        <f t="shared" si="22"/>
        <v>12870</v>
      </c>
      <c r="I363" s="4">
        <f t="shared" si="23"/>
        <v>0</v>
      </c>
      <c r="J363" s="27">
        <f>NT_D!I24</f>
        <v>50700</v>
      </c>
      <c r="K363" s="27">
        <f>NT_D!J24</f>
        <v>17550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6149.58</v>
      </c>
      <c r="I365" s="4">
        <f t="shared" si="23"/>
        <v>0</v>
      </c>
      <c r="J365" s="27">
        <f>NT_D!I26</f>
        <v>21636</v>
      </c>
      <c r="K365" s="27">
        <f>NT_D!J26</f>
        <v>7269</v>
      </c>
    </row>
    <row r="366" spans="4:11" ht="12.75">
      <c r="D366" s="4" t="s">
        <v>557</v>
      </c>
      <c r="E366" s="4">
        <v>5</v>
      </c>
      <c r="F366" s="28">
        <f>NT_D!G27</f>
        <v>18</v>
      </c>
      <c r="G366" s="28">
        <f>IF(NT_D!H27&lt;&gt;"",NT_D!H27,"")</f>
      </c>
      <c r="H366" s="26">
        <f t="shared" si="22"/>
        <v>14091.84</v>
      </c>
      <c r="I366" s="4">
        <f t="shared" si="23"/>
        <v>0</v>
      </c>
      <c r="J366" s="27">
        <f>NT_D!I27</f>
        <v>0</v>
      </c>
      <c r="K366" s="27">
        <f>NT_D!J27</f>
        <v>39144</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1038482.8</v>
      </c>
      <c r="I368" s="4">
        <f t="shared" si="23"/>
        <v>0</v>
      </c>
      <c r="J368" s="27">
        <f>NT_D!I29</f>
        <v>111170</v>
      </c>
      <c r="K368" s="27">
        <f>NT_D!J29</f>
        <v>2540622</v>
      </c>
    </row>
    <row r="369" spans="4:11" ht="12.75">
      <c r="D369" s="4" t="s">
        <v>557</v>
      </c>
      <c r="E369" s="4">
        <v>5</v>
      </c>
      <c r="F369" s="28">
        <f>NT_D!G30</f>
        <v>21</v>
      </c>
      <c r="G369" s="28">
        <f>IF(NT_D!H30&lt;&gt;"",NT_D!H30,"")</f>
      </c>
      <c r="H369" s="26">
        <f t="shared" si="22"/>
        <v>1132461.96</v>
      </c>
      <c r="I369" s="4">
        <f t="shared" si="23"/>
        <v>0</v>
      </c>
      <c r="J369" s="27">
        <f>NT_D!I30</f>
        <v>183506</v>
      </c>
      <c r="K369" s="27">
        <f>NT_D!J30</f>
        <v>2604585</v>
      </c>
    </row>
    <row r="370" spans="4:11" ht="12.75">
      <c r="D370" s="4" t="s">
        <v>557</v>
      </c>
      <c r="E370" s="4">
        <v>5</v>
      </c>
      <c r="F370" s="28">
        <f>NT_D!G31</f>
        <v>22</v>
      </c>
      <c r="G370" s="28">
        <f>IF(NT_D!H31&lt;&gt;"",NT_D!H31,"")</f>
      </c>
      <c r="H370" s="26">
        <f t="shared" si="22"/>
        <v>-5737371.859999999</v>
      </c>
      <c r="I370" s="4">
        <f t="shared" si="23"/>
        <v>0</v>
      </c>
      <c r="J370" s="27">
        <f>NT_D!I31</f>
        <v>-3109969</v>
      </c>
      <c r="K370" s="27">
        <f>NT_D!J31</f>
        <v>-11484497</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-74646</v>
      </c>
      <c r="I374" s="4">
        <f t="shared" si="23"/>
        <v>0</v>
      </c>
      <c r="J374" s="27">
        <f>NT_D!I35</f>
        <v>-287100</v>
      </c>
      <c r="K374" s="27">
        <f>NT_D!J35</f>
        <v>0</v>
      </c>
    </row>
    <row r="375" spans="4:11" ht="12.75">
      <c r="D375" s="4" t="s">
        <v>557</v>
      </c>
      <c r="E375" s="4">
        <v>5</v>
      </c>
      <c r="F375" s="28">
        <f>NT_D!G36</f>
        <v>27</v>
      </c>
      <c r="G375" s="28">
        <f>IF(NT_D!H36&lt;&gt;"",NT_D!H36,"")</f>
      </c>
      <c r="H375" s="26">
        <f t="shared" si="22"/>
        <v>-7118837.01</v>
      </c>
      <c r="I375" s="4">
        <f t="shared" si="23"/>
        <v>0</v>
      </c>
      <c r="J375" s="27">
        <f>NT_D!I36</f>
        <v>-3397069</v>
      </c>
      <c r="K375" s="27">
        <f>NT_D!J36</f>
        <v>-11484497</v>
      </c>
    </row>
    <row r="376" spans="4:11" ht="12.75">
      <c r="D376" s="4" t="s">
        <v>557</v>
      </c>
      <c r="E376" s="4">
        <v>5</v>
      </c>
      <c r="F376" s="28">
        <f>NT_D!G37</f>
        <v>28</v>
      </c>
      <c r="G376" s="28">
        <f>IF(NT_D!H37&lt;&gt;"",NT_D!H37,"")</f>
      </c>
      <c r="H376" s="26">
        <f t="shared" si="22"/>
        <v>-5872548.359999999</v>
      </c>
      <c r="I376" s="4">
        <f t="shared" si="23"/>
        <v>0</v>
      </c>
      <c r="J376" s="27">
        <f>NT_D!I37</f>
        <v>-3213563</v>
      </c>
      <c r="K376" s="27">
        <f>NT_D!J37</f>
        <v>-8879912</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-2663497.9</v>
      </c>
      <c r="I383" s="4">
        <f t="shared" si="23"/>
        <v>0</v>
      </c>
      <c r="J383" s="27">
        <f>NT_D!I45</f>
        <v>0</v>
      </c>
      <c r="K383" s="27">
        <f>NT_D!J45</f>
        <v>-3804997</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-451.44000000000005</v>
      </c>
      <c r="I386" s="4">
        <f t="shared" si="23"/>
        <v>0</v>
      </c>
      <c r="J386" s="27">
        <f>NT_D!I48</f>
        <v>-1188</v>
      </c>
      <c r="K386" s="27">
        <f>NT_D!J48</f>
        <v>0</v>
      </c>
    </row>
    <row r="387" spans="4:11" ht="12.75">
      <c r="D387" s="4" t="s">
        <v>557</v>
      </c>
      <c r="E387" s="4">
        <v>5</v>
      </c>
      <c r="F387" s="28">
        <f>NT_D!G49</f>
        <v>39</v>
      </c>
      <c r="G387" s="28">
        <f>IF(NT_D!H49&lt;&gt;"",NT_D!H49,"")</f>
      </c>
      <c r="H387" s="26">
        <f t="shared" si="22"/>
        <v>-2968360.98</v>
      </c>
      <c r="I387" s="4">
        <f t="shared" si="23"/>
        <v>0</v>
      </c>
      <c r="J387" s="27">
        <f>NT_D!I49</f>
        <v>-1188</v>
      </c>
      <c r="K387" s="27">
        <f>NT_D!J49</f>
        <v>-3804997</v>
      </c>
    </row>
    <row r="388" spans="4:11" ht="12.75">
      <c r="D388" s="4" t="s">
        <v>557</v>
      </c>
      <c r="E388" s="4">
        <v>5</v>
      </c>
      <c r="F388" s="28">
        <f>NT_D!G50</f>
        <v>40</v>
      </c>
      <c r="G388" s="28">
        <f>IF(NT_D!H50&lt;&gt;"",NT_D!H50,"")</f>
      </c>
      <c r="H388" s="26">
        <f t="shared" si="22"/>
        <v>-3044472.8000000003</v>
      </c>
      <c r="I388" s="4">
        <f t="shared" si="23"/>
        <v>0</v>
      </c>
      <c r="J388" s="27">
        <f>NT_D!I50</f>
        <v>-1188</v>
      </c>
      <c r="K388" s="27">
        <f>NT_D!J50</f>
        <v>-3804997</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5785548.300000001</v>
      </c>
      <c r="I390" s="4">
        <f t="shared" si="23"/>
        <v>0</v>
      </c>
      <c r="J390" s="27">
        <f>NT_D!I52</f>
        <v>6627219</v>
      </c>
      <c r="K390" s="27">
        <f>NT_D!J52</f>
        <v>3573948</v>
      </c>
    </row>
    <row r="391" spans="4:11" ht="12.75">
      <c r="D391" s="4" t="s">
        <v>557</v>
      </c>
      <c r="E391" s="4">
        <v>5</v>
      </c>
      <c r="F391" s="28">
        <f>NT_D!G53</f>
        <v>43</v>
      </c>
      <c r="G391" s="28">
        <f>IF(NT_D!H53&lt;&gt;"",NT_D!H53,"")</f>
      </c>
      <c r="H391" s="26">
        <f t="shared" si="22"/>
        <v>29825492.73</v>
      </c>
      <c r="I391" s="4">
        <f t="shared" si="23"/>
        <v>0</v>
      </c>
      <c r="J391" s="27">
        <f>NT_D!I53</f>
        <v>18702391</v>
      </c>
      <c r="K391" s="27">
        <f>NT_D!J53</f>
        <v>25329610</v>
      </c>
    </row>
    <row r="392" spans="4:11" ht="12.75">
      <c r="D392" s="4" t="s">
        <v>557</v>
      </c>
      <c r="E392" s="4">
        <v>5</v>
      </c>
      <c r="F392" s="28">
        <f>NT_D!G54</f>
        <v>44</v>
      </c>
      <c r="G392" s="28">
        <f>IF(NT_D!H54&lt;&gt;"",NT_D!H54,"")</f>
      </c>
      <c r="H392" s="26">
        <f t="shared" si="22"/>
        <v>36580159.440000005</v>
      </c>
      <c r="I392" s="4">
        <f t="shared" si="23"/>
        <v>0</v>
      </c>
      <c r="J392" s="27">
        <f>NT_D!I54</f>
        <v>25329610</v>
      </c>
      <c r="K392" s="27">
        <f>NT_D!J54</f>
        <v>28903558</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49623932.739999995</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111546200</v>
      </c>
      <c r="K393" s="27">
        <f>PK!J10</f>
        <v>0</v>
      </c>
      <c r="L393" s="27">
        <f>PK!K10</f>
        <v>0</v>
      </c>
      <c r="M393" s="27">
        <f>PK!L10</f>
        <v>0</v>
      </c>
      <c r="N393" s="27">
        <f>PK!M10</f>
        <v>0</v>
      </c>
      <c r="O393" s="27">
        <f>PK!N10</f>
        <v>0</v>
      </c>
      <c r="P393" s="27">
        <f>PK!O10</f>
        <v>0</v>
      </c>
      <c r="Q393" s="27">
        <f>PK!P10</f>
        <v>0</v>
      </c>
      <c r="R393" s="27">
        <f>PK!Q10</f>
        <v>407814</v>
      </c>
      <c r="S393" s="27">
        <f>PK!R10</f>
        <v>0</v>
      </c>
      <c r="T393" s="27">
        <f>PK!S10</f>
        <v>0</v>
      </c>
      <c r="U393" s="27">
        <f>PK!T10</f>
        <v>0</v>
      </c>
      <c r="V393" s="27">
        <f>PK!U10</f>
        <v>0</v>
      </c>
      <c r="W393" s="27">
        <f>PK!V10</f>
        <v>21682089</v>
      </c>
      <c r="X393" s="27">
        <f>PK!W10</f>
        <v>0</v>
      </c>
      <c r="Y393" s="27">
        <f>PK!X10</f>
        <v>133636103</v>
      </c>
      <c r="Z393" s="27">
        <f>PK!Y10</f>
        <v>0</v>
      </c>
      <c r="AA393" s="27">
        <f>PK!Z10</f>
        <v>133636103</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52970318.739999995</v>
      </c>
      <c r="I396" s="27">
        <f t="shared" si="25"/>
        <v>0</v>
      </c>
      <c r="J396" s="27">
        <f>PK!I13</f>
        <v>111546200</v>
      </c>
      <c r="K396" s="27">
        <f>PK!J13</f>
        <v>0</v>
      </c>
      <c r="L396" s="27">
        <f>PK!K13</f>
        <v>0</v>
      </c>
      <c r="M396" s="27">
        <f>PK!L13</f>
        <v>0</v>
      </c>
      <c r="N396" s="27">
        <f>PK!M13</f>
        <v>0</v>
      </c>
      <c r="O396" s="27">
        <f>PK!N13</f>
        <v>0</v>
      </c>
      <c r="P396" s="27">
        <f>PK!O13</f>
        <v>0</v>
      </c>
      <c r="Q396" s="27">
        <f>PK!P13</f>
        <v>0</v>
      </c>
      <c r="R396" s="27">
        <f>PK!Q13</f>
        <v>407814</v>
      </c>
      <c r="S396" s="27">
        <f>PK!R13</f>
        <v>0</v>
      </c>
      <c r="T396" s="27">
        <f>PK!S13</f>
        <v>0</v>
      </c>
      <c r="U396" s="27">
        <f>PK!T13</f>
        <v>0</v>
      </c>
      <c r="V396" s="27">
        <f>PK!U13</f>
        <v>0</v>
      </c>
      <c r="W396" s="27">
        <f>PK!V13</f>
        <v>21682089</v>
      </c>
      <c r="X396" s="27">
        <f>PK!W13</f>
        <v>0</v>
      </c>
      <c r="Y396" s="27">
        <f>PK!X13</f>
        <v>133636103</v>
      </c>
      <c r="Z396" s="27">
        <f>PK!Y13</f>
        <v>0</v>
      </c>
      <c r="AA396" s="27">
        <f>PK!Z13</f>
        <v>133636103</v>
      </c>
    </row>
    <row r="397" spans="4:27" ht="12.75">
      <c r="D397" s="4" t="s">
        <v>795</v>
      </c>
      <c r="E397" s="4">
        <v>6</v>
      </c>
      <c r="F397" s="4">
        <f>PK!G14</f>
        <v>5</v>
      </c>
      <c r="G397" s="4">
        <f>IF(PK!H14&lt;&gt;"",PK!H14,"")</f>
      </c>
      <c r="H397" s="26">
        <f t="shared" si="24"/>
        <v>3107414.38</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6341662</v>
      </c>
      <c r="Y397" s="27">
        <f>PK!X14</f>
        <v>6341662</v>
      </c>
      <c r="Z397" s="27">
        <f>PK!Y14</f>
        <v>0</v>
      </c>
      <c r="AA397" s="27">
        <f>PK!Z14</f>
        <v>6341662</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38022.75</v>
      </c>
      <c r="I400" s="27">
        <f t="shared" si="25"/>
        <v>0</v>
      </c>
      <c r="J400" s="27">
        <f>PK!I17</f>
        <v>0</v>
      </c>
      <c r="K400" s="27">
        <f>PK!J17</f>
        <v>0</v>
      </c>
      <c r="L400" s="27">
        <f>PK!K17</f>
        <v>0</v>
      </c>
      <c r="M400" s="27">
        <f>PK!L17</f>
        <v>0</v>
      </c>
      <c r="N400" s="27">
        <f>PK!M17</f>
        <v>0</v>
      </c>
      <c r="O400" s="27">
        <f>PK!N17</f>
        <v>0</v>
      </c>
      <c r="P400" s="27">
        <f>PK!O17</f>
        <v>0</v>
      </c>
      <c r="Q400" s="27">
        <f>PK!P17</f>
        <v>0</v>
      </c>
      <c r="R400" s="27">
        <f>PK!Q17</f>
        <v>88425</v>
      </c>
      <c r="S400" s="27">
        <f>PK!R17</f>
        <v>0</v>
      </c>
      <c r="T400" s="27">
        <f>PK!S17</f>
        <v>0</v>
      </c>
      <c r="U400" s="27">
        <f>PK!T17</f>
        <v>0</v>
      </c>
      <c r="V400" s="27">
        <f>PK!U17</f>
        <v>0</v>
      </c>
      <c r="W400" s="27">
        <f>PK!V17</f>
        <v>0</v>
      </c>
      <c r="X400" s="27">
        <f>PK!W17</f>
        <v>0</v>
      </c>
      <c r="Y400" s="27">
        <f>PK!X17</f>
        <v>88425</v>
      </c>
      <c r="Z400" s="27">
        <f>PK!Y17</f>
        <v>0</v>
      </c>
      <c r="AA400" s="27">
        <f>PK!Z17</f>
        <v>88425</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-886125.6</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-1846095</v>
      </c>
      <c r="X414" s="27">
        <f>PK!W31</f>
        <v>0</v>
      </c>
      <c r="Y414" s="27">
        <f>PK!X31</f>
        <v>-1846095</v>
      </c>
      <c r="Z414" s="27">
        <f>PK!Y31</f>
        <v>0</v>
      </c>
      <c r="AA414" s="27">
        <f>PK!Z31</f>
        <v>-1846095</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77538870.27000001</v>
      </c>
      <c r="I416" s="27">
        <f t="shared" si="25"/>
        <v>0</v>
      </c>
      <c r="J416" s="27">
        <f>PK!I33</f>
        <v>111546200</v>
      </c>
      <c r="K416" s="27">
        <f>PK!J33</f>
        <v>0</v>
      </c>
      <c r="L416" s="27">
        <f>PK!K33</f>
        <v>0</v>
      </c>
      <c r="M416" s="27">
        <f>PK!L33</f>
        <v>0</v>
      </c>
      <c r="N416" s="27">
        <f>PK!M33</f>
        <v>0</v>
      </c>
      <c r="O416" s="27">
        <f>PK!N33</f>
        <v>0</v>
      </c>
      <c r="P416" s="27">
        <f>PK!O33</f>
        <v>0</v>
      </c>
      <c r="Q416" s="27">
        <f>PK!P33</f>
        <v>0</v>
      </c>
      <c r="R416" s="27">
        <f>PK!Q33</f>
        <v>496239</v>
      </c>
      <c r="S416" s="27">
        <f>PK!R33</f>
        <v>0</v>
      </c>
      <c r="T416" s="27">
        <f>PK!S33</f>
        <v>0</v>
      </c>
      <c r="U416" s="27">
        <f>PK!T33</f>
        <v>0</v>
      </c>
      <c r="V416" s="27">
        <f>PK!U33</f>
        <v>0</v>
      </c>
      <c r="W416" s="27">
        <f>PK!V33</f>
        <v>19835994</v>
      </c>
      <c r="X416" s="27">
        <f>PK!W33</f>
        <v>6341662</v>
      </c>
      <c r="Y416" s="27">
        <f>PK!X33</f>
        <v>138220095</v>
      </c>
      <c r="Z416" s="27">
        <f>PK!Y33</f>
        <v>0</v>
      </c>
      <c r="AA416" s="27">
        <f>PK!Z33</f>
        <v>138220095</v>
      </c>
    </row>
    <row r="417" spans="4:27" ht="12.75">
      <c r="D417" s="4" t="s">
        <v>795</v>
      </c>
      <c r="E417" s="4">
        <v>6</v>
      </c>
      <c r="F417" s="4">
        <f>PK!G35</f>
        <v>25</v>
      </c>
      <c r="G417" s="4">
        <f>IF(PK!H35&lt;&gt;"",PK!H35,"")</f>
      </c>
      <c r="H417" s="26">
        <f t="shared" si="24"/>
        <v>38022.75</v>
      </c>
      <c r="I417" s="27">
        <f t="shared" si="25"/>
        <v>0</v>
      </c>
      <c r="J417" s="27">
        <f>PK!I35</f>
        <v>0</v>
      </c>
      <c r="K417" s="27">
        <f>PK!J35</f>
        <v>0</v>
      </c>
      <c r="L417" s="27">
        <f>PK!K35</f>
        <v>0</v>
      </c>
      <c r="M417" s="27">
        <f>PK!L35</f>
        <v>0</v>
      </c>
      <c r="N417" s="27">
        <f>PK!M35</f>
        <v>0</v>
      </c>
      <c r="O417" s="27">
        <f>PK!N35</f>
        <v>0</v>
      </c>
      <c r="P417" s="27">
        <f>PK!O35</f>
        <v>0</v>
      </c>
      <c r="Q417" s="27">
        <f>PK!P35</f>
        <v>0</v>
      </c>
      <c r="R417" s="27">
        <f>PK!Q35</f>
        <v>88425</v>
      </c>
      <c r="S417" s="27">
        <f>PK!R35</f>
        <v>0</v>
      </c>
      <c r="T417" s="27">
        <f>PK!S35</f>
        <v>0</v>
      </c>
      <c r="U417" s="27">
        <f>PK!T35</f>
        <v>0</v>
      </c>
      <c r="V417" s="27">
        <f>PK!U35</f>
        <v>0</v>
      </c>
      <c r="W417" s="27">
        <f>PK!V35</f>
        <v>0</v>
      </c>
      <c r="X417" s="27">
        <f>PK!W35</f>
        <v>0</v>
      </c>
      <c r="Y417" s="27">
        <f>PK!X35</f>
        <v>88425</v>
      </c>
      <c r="Z417" s="27">
        <f>PK!Y35</f>
        <v>0</v>
      </c>
      <c r="AA417" s="27">
        <f>PK!Z35</f>
        <v>88425</v>
      </c>
    </row>
    <row r="418" spans="4:27" ht="12.75">
      <c r="D418" s="4" t="s">
        <v>795</v>
      </c>
      <c r="E418" s="4">
        <v>6</v>
      </c>
      <c r="F418" s="4">
        <f>PK!G36</f>
        <v>26</v>
      </c>
      <c r="G418" s="4">
        <f>IF(PK!H36&lt;&gt;"",PK!H36,"")</f>
      </c>
      <c r="H418" s="26">
        <f t="shared" si="24"/>
        <v>3145437.13</v>
      </c>
      <c r="I418" s="27">
        <f t="shared" si="25"/>
        <v>0</v>
      </c>
      <c r="J418" s="27">
        <f>PK!I36</f>
        <v>0</v>
      </c>
      <c r="K418" s="27">
        <f>PK!J36</f>
        <v>0</v>
      </c>
      <c r="L418" s="27">
        <f>PK!K36</f>
        <v>0</v>
      </c>
      <c r="M418" s="27">
        <f>PK!L36</f>
        <v>0</v>
      </c>
      <c r="N418" s="27">
        <f>PK!M36</f>
        <v>0</v>
      </c>
      <c r="O418" s="27">
        <f>PK!N36</f>
        <v>0</v>
      </c>
      <c r="P418" s="27">
        <f>PK!O36</f>
        <v>0</v>
      </c>
      <c r="Q418" s="27">
        <f>PK!P36</f>
        <v>0</v>
      </c>
      <c r="R418" s="27">
        <f>PK!Q36</f>
        <v>88425</v>
      </c>
      <c r="S418" s="27">
        <f>PK!R36</f>
        <v>0</v>
      </c>
      <c r="T418" s="27">
        <f>PK!S36</f>
        <v>0</v>
      </c>
      <c r="U418" s="27">
        <f>PK!T36</f>
        <v>0</v>
      </c>
      <c r="V418" s="27">
        <f>PK!U36</f>
        <v>0</v>
      </c>
      <c r="W418" s="27">
        <f>PK!V36</f>
        <v>0</v>
      </c>
      <c r="X418" s="27">
        <f>PK!W36</f>
        <v>6341662</v>
      </c>
      <c r="Y418" s="27">
        <f>PK!X36</f>
        <v>6430087</v>
      </c>
      <c r="Z418" s="27">
        <f>PK!Y36</f>
        <v>0</v>
      </c>
      <c r="AA418" s="27">
        <f>PK!Z36</f>
        <v>6430087</v>
      </c>
    </row>
    <row r="419" spans="4:27" ht="12.75">
      <c r="D419" s="4" t="s">
        <v>795</v>
      </c>
      <c r="E419" s="4">
        <v>6</v>
      </c>
      <c r="F419" s="4">
        <f>PK!G37</f>
        <v>27</v>
      </c>
      <c r="G419" s="4">
        <f>IF(PK!H37&lt;&gt;"",PK!H37,"")</f>
      </c>
      <c r="H419" s="26">
        <f t="shared" si="24"/>
        <v>-886125.6</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-1846095</v>
      </c>
      <c r="X419" s="27">
        <f>PK!W37</f>
        <v>0</v>
      </c>
      <c r="Y419" s="27">
        <f>PK!X37</f>
        <v>-1846095</v>
      </c>
      <c r="Z419" s="27">
        <f>PK!Y37</f>
        <v>0</v>
      </c>
      <c r="AA419" s="27">
        <f>PK!Z37</f>
        <v>-1846095</v>
      </c>
    </row>
    <row r="420" spans="4:27" ht="12.75">
      <c r="D420" s="4" t="s">
        <v>795</v>
      </c>
      <c r="E420" s="4">
        <v>6</v>
      </c>
      <c r="F420" s="4">
        <f>PK!G39</f>
        <v>28</v>
      </c>
      <c r="G420" s="4">
        <f>IF(PK!H39&lt;&gt;"",PK!H39,"")</f>
      </c>
      <c r="H420" s="26">
        <f t="shared" si="24"/>
        <v>82000718.27000001</v>
      </c>
      <c r="I420" s="27">
        <f t="shared" si="25"/>
        <v>0</v>
      </c>
      <c r="J420" s="27">
        <f>PK!I39</f>
        <v>111546200</v>
      </c>
      <c r="K420" s="27">
        <f>PK!J39</f>
        <v>0</v>
      </c>
      <c r="L420" s="27">
        <f>PK!K39</f>
        <v>0</v>
      </c>
      <c r="M420" s="27">
        <f>PK!L39</f>
        <v>0</v>
      </c>
      <c r="N420" s="27">
        <f>PK!M39</f>
        <v>0</v>
      </c>
      <c r="O420" s="27">
        <f>PK!N39</f>
        <v>0</v>
      </c>
      <c r="P420" s="27">
        <f>PK!O39</f>
        <v>0</v>
      </c>
      <c r="Q420" s="27">
        <f>PK!P39</f>
        <v>0</v>
      </c>
      <c r="R420" s="27">
        <f>PK!Q39</f>
        <v>496239</v>
      </c>
      <c r="S420" s="27">
        <f>PK!R39</f>
        <v>0</v>
      </c>
      <c r="T420" s="27">
        <f>PK!S39</f>
        <v>0</v>
      </c>
      <c r="U420" s="27">
        <f>PK!T39</f>
        <v>0</v>
      </c>
      <c r="V420" s="27">
        <f>PK!U39</f>
        <v>0</v>
      </c>
      <c r="W420" s="27">
        <f>PK!V39</f>
        <v>19835994</v>
      </c>
      <c r="X420" s="27">
        <f>PK!W39</f>
        <v>6341662</v>
      </c>
      <c r="Y420" s="27">
        <f>PK!X39</f>
        <v>138220095</v>
      </c>
      <c r="Z420" s="27">
        <f>PK!Y39</f>
        <v>0</v>
      </c>
      <c r="AA420" s="27">
        <f>PK!Z39</f>
        <v>138220095</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85347104.27000001</v>
      </c>
      <c r="I423" s="27">
        <f t="shared" si="25"/>
        <v>0</v>
      </c>
      <c r="J423" s="27">
        <f>PK!I42</f>
        <v>111546200</v>
      </c>
      <c r="K423" s="27">
        <f>PK!J42</f>
        <v>0</v>
      </c>
      <c r="L423" s="27">
        <f>PK!K42</f>
        <v>0</v>
      </c>
      <c r="M423" s="27">
        <f>PK!L42</f>
        <v>0</v>
      </c>
      <c r="N423" s="27">
        <f>PK!M42</f>
        <v>0</v>
      </c>
      <c r="O423" s="27">
        <f>PK!N42</f>
        <v>0</v>
      </c>
      <c r="P423" s="27">
        <f>PK!O42</f>
        <v>0</v>
      </c>
      <c r="Q423" s="27">
        <f>PK!P42</f>
        <v>0</v>
      </c>
      <c r="R423" s="27">
        <f>PK!Q42</f>
        <v>496239</v>
      </c>
      <c r="S423" s="27">
        <f>PK!R42</f>
        <v>0</v>
      </c>
      <c r="T423" s="27">
        <f>PK!S42</f>
        <v>0</v>
      </c>
      <c r="U423" s="27">
        <f>PK!T42</f>
        <v>0</v>
      </c>
      <c r="V423" s="27">
        <f>PK!U42</f>
        <v>0</v>
      </c>
      <c r="W423" s="27">
        <f>PK!V42</f>
        <v>19835994</v>
      </c>
      <c r="X423" s="27">
        <f>PK!W42</f>
        <v>6341662</v>
      </c>
      <c r="Y423" s="27">
        <f>PK!X42</f>
        <v>138220095</v>
      </c>
      <c r="Z423" s="27">
        <f>PK!Y42</f>
        <v>0</v>
      </c>
      <c r="AA423" s="27">
        <f>PK!Z42</f>
        <v>138220095</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3920119.6500000004</v>
      </c>
      <c r="I427" s="27">
        <f t="shared" si="25"/>
        <v>0</v>
      </c>
      <c r="J427" s="27">
        <f>PK!I46</f>
        <v>0</v>
      </c>
      <c r="K427" s="27">
        <f>PK!J46</f>
        <v>0</v>
      </c>
      <c r="L427" s="27">
        <f>PK!K46</f>
        <v>0</v>
      </c>
      <c r="M427" s="27">
        <f>PK!L46</f>
        <v>0</v>
      </c>
      <c r="N427" s="27">
        <f>PK!M46</f>
        <v>0</v>
      </c>
      <c r="O427" s="27">
        <f>PK!N46</f>
        <v>0</v>
      </c>
      <c r="P427" s="27">
        <f>PK!O46</f>
        <v>0</v>
      </c>
      <c r="Q427" s="27">
        <f>PK!P46</f>
        <v>0</v>
      </c>
      <c r="R427" s="27">
        <f>PK!Q46</f>
        <v>-8356</v>
      </c>
      <c r="S427" s="27">
        <f>PK!R46</f>
        <v>0</v>
      </c>
      <c r="T427" s="27">
        <f>PK!S46</f>
        <v>0</v>
      </c>
      <c r="U427" s="27">
        <f>PK!T46</f>
        <v>0</v>
      </c>
      <c r="V427" s="27">
        <f>PK!U46</f>
        <v>0</v>
      </c>
      <c r="W427" s="27">
        <f>PK!V46</f>
        <v>0</v>
      </c>
      <c r="X427" s="27">
        <f>PK!W46</f>
        <v>8007577</v>
      </c>
      <c r="Y427" s="27">
        <f>PK!X46</f>
        <v>7999221</v>
      </c>
      <c r="Z427" s="27">
        <f>PK!Y46</f>
        <v>0</v>
      </c>
      <c r="AA427" s="27">
        <f>PK!Z46</f>
        <v>7999221</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69540.45999999999</v>
      </c>
      <c r="I431" s="27">
        <f t="shared" si="25"/>
        <v>0</v>
      </c>
      <c r="J431" s="27">
        <f>PK!I50</f>
        <v>0</v>
      </c>
      <c r="K431" s="27">
        <f>PK!J50</f>
        <v>0</v>
      </c>
      <c r="L431" s="27">
        <f>PK!K50</f>
        <v>0</v>
      </c>
      <c r="M431" s="27">
        <f>PK!L50</f>
        <v>0</v>
      </c>
      <c r="N431" s="27">
        <f>PK!M50</f>
        <v>0</v>
      </c>
      <c r="O431" s="27">
        <f>PK!N50</f>
        <v>0</v>
      </c>
      <c r="P431" s="27">
        <f>PK!O50</f>
        <v>0</v>
      </c>
      <c r="Q431" s="27">
        <f>PK!P50</f>
        <v>0</v>
      </c>
      <c r="R431" s="27">
        <f>PK!Q50</f>
        <v>161722</v>
      </c>
      <c r="S431" s="27">
        <f>PK!R50</f>
        <v>0</v>
      </c>
      <c r="T431" s="27">
        <f>PK!S50</f>
        <v>0</v>
      </c>
      <c r="U431" s="27">
        <f>PK!T50</f>
        <v>0</v>
      </c>
      <c r="V431" s="27">
        <f>PK!U50</f>
        <v>0</v>
      </c>
      <c r="W431" s="27">
        <f>PK!V50</f>
        <v>0</v>
      </c>
      <c r="X431" s="27">
        <f>PK!W50</f>
        <v>0</v>
      </c>
      <c r="Y431" s="27">
        <f>PK!X50</f>
        <v>161722</v>
      </c>
      <c r="Z431" s="27">
        <f>PK!Y50</f>
        <v>0</v>
      </c>
      <c r="AA431" s="27">
        <f>PK!Z50</f>
        <v>161722</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-1864448.53</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-3804997</v>
      </c>
      <c r="Y439" s="27">
        <f>PK!X58</f>
        <v>-3804997</v>
      </c>
      <c r="Z439" s="27">
        <f>PK!Y58</f>
        <v>0</v>
      </c>
      <c r="AA439" s="27">
        <f>PK!Z58</f>
        <v>-3804997</v>
      </c>
    </row>
    <row r="440" spans="4:27" ht="12.75">
      <c r="D440" s="4" t="s">
        <v>795</v>
      </c>
      <c r="E440" s="4">
        <v>6</v>
      </c>
      <c r="F440" s="4">
        <f>PK!G59</f>
        <v>48</v>
      </c>
      <c r="G440" s="4">
        <f>IF(PK!H59&lt;&gt;"",PK!H59,"")</f>
      </c>
      <c r="H440" s="26">
        <f t="shared" si="24"/>
        <v>-832377.1199999999</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-1734119</v>
      </c>
      <c r="X440" s="27">
        <f>PK!W59</f>
        <v>0</v>
      </c>
      <c r="Y440" s="27">
        <f>PK!X59</f>
        <v>-1734119</v>
      </c>
      <c r="Z440" s="27">
        <f>PK!Y59</f>
        <v>0</v>
      </c>
      <c r="AA440" s="27">
        <f>PK!Z59</f>
        <v>-1734119</v>
      </c>
    </row>
    <row r="441" spans="4:27" ht="12.75">
      <c r="D441" s="4" t="s">
        <v>795</v>
      </c>
      <c r="E441" s="4">
        <v>6</v>
      </c>
      <c r="F441" s="4">
        <f>PK!G60</f>
        <v>49</v>
      </c>
      <c r="G441" s="4">
        <f>IF(PK!H60&lt;&gt;"",PK!H60,"")</f>
      </c>
      <c r="H441" s="26">
        <f t="shared" si="24"/>
        <v>-25366.650000000023</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2536665</v>
      </c>
      <c r="X441" s="27">
        <f>PK!W60</f>
        <v>-2536665</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108923812.08000001</v>
      </c>
      <c r="I443" s="27">
        <f t="shared" si="25"/>
        <v>0</v>
      </c>
      <c r="J443" s="27">
        <f>PK!I62</f>
        <v>111546200</v>
      </c>
      <c r="K443" s="27">
        <f>PK!J62</f>
        <v>0</v>
      </c>
      <c r="L443" s="27">
        <f>PK!K62</f>
        <v>0</v>
      </c>
      <c r="M443" s="27">
        <f>PK!L62</f>
        <v>0</v>
      </c>
      <c r="N443" s="27">
        <f>PK!M62</f>
        <v>0</v>
      </c>
      <c r="O443" s="27">
        <f>PK!N62</f>
        <v>0</v>
      </c>
      <c r="P443" s="27">
        <f>PK!O62</f>
        <v>0</v>
      </c>
      <c r="Q443" s="27">
        <f>PK!P62</f>
        <v>0</v>
      </c>
      <c r="R443" s="27">
        <f>PK!Q62</f>
        <v>649605</v>
      </c>
      <c r="S443" s="27">
        <f>PK!R62</f>
        <v>0</v>
      </c>
      <c r="T443" s="27">
        <f>PK!S62</f>
        <v>0</v>
      </c>
      <c r="U443" s="27">
        <f>PK!T62</f>
        <v>0</v>
      </c>
      <c r="V443" s="27">
        <f>PK!U62</f>
        <v>0</v>
      </c>
      <c r="W443" s="27">
        <f>PK!V62</f>
        <v>20638540</v>
      </c>
      <c r="X443" s="27">
        <f>PK!W62</f>
        <v>8007577</v>
      </c>
      <c r="Y443" s="27">
        <f>PK!X62</f>
        <v>140841922</v>
      </c>
      <c r="Z443" s="27">
        <f>PK!Y62</f>
        <v>0</v>
      </c>
      <c r="AA443" s="27">
        <f>PK!Z62</f>
        <v>140841922</v>
      </c>
    </row>
    <row r="444" spans="4:27" ht="12.75">
      <c r="D444" s="4" t="s">
        <v>795</v>
      </c>
      <c r="E444" s="4">
        <v>6</v>
      </c>
      <c r="F444" s="4">
        <f>PK!G64</f>
        <v>52</v>
      </c>
      <c r="G444" s="4">
        <f>IF(PK!H64&lt;&gt;"",PK!H64,"")</f>
      </c>
      <c r="H444" s="26">
        <f t="shared" si="24"/>
        <v>3989660.1100000003</v>
      </c>
      <c r="I444" s="27">
        <f t="shared" si="25"/>
        <v>0</v>
      </c>
      <c r="J444" s="27">
        <f>PK!I64</f>
        <v>0</v>
      </c>
      <c r="K444" s="27">
        <f>PK!J64</f>
        <v>0</v>
      </c>
      <c r="L444" s="27">
        <f>PK!K64</f>
        <v>0</v>
      </c>
      <c r="M444" s="27">
        <f>PK!L64</f>
        <v>0</v>
      </c>
      <c r="N444" s="27">
        <f>PK!M64</f>
        <v>0</v>
      </c>
      <c r="O444" s="27">
        <f>PK!N64</f>
        <v>0</v>
      </c>
      <c r="P444" s="27">
        <f>PK!O64</f>
        <v>0</v>
      </c>
      <c r="Q444" s="27">
        <f>PK!P64</f>
        <v>0</v>
      </c>
      <c r="R444" s="27">
        <f>PK!Q64</f>
        <v>153366</v>
      </c>
      <c r="S444" s="27">
        <f>PK!R64</f>
        <v>0</v>
      </c>
      <c r="T444" s="27">
        <f>PK!S64</f>
        <v>0</v>
      </c>
      <c r="U444" s="27">
        <f>PK!T64</f>
        <v>0</v>
      </c>
      <c r="V444" s="27">
        <f>PK!U64</f>
        <v>0</v>
      </c>
      <c r="W444" s="27">
        <f>PK!V64</f>
        <v>0</v>
      </c>
      <c r="X444" s="27">
        <f>PK!W64</f>
        <v>8007577</v>
      </c>
      <c r="Y444" s="27">
        <f>PK!X64</f>
        <v>8160943</v>
      </c>
      <c r="Z444" s="27">
        <f>PK!Y64</f>
        <v>0</v>
      </c>
      <c r="AA444" s="27">
        <f>PK!Z64</f>
        <v>8160943</v>
      </c>
    </row>
    <row r="445" spans="4:27" ht="12.75">
      <c r="D445" s="4" t="s">
        <v>795</v>
      </c>
      <c r="E445" s="4">
        <v>6</v>
      </c>
      <c r="F445" s="4">
        <f>PK!G65</f>
        <v>53</v>
      </c>
      <c r="G445" s="4">
        <f>IF(PK!H65&lt;&gt;"",PK!H65,"")</f>
      </c>
      <c r="H445" s="26">
        <f t="shared" si="24"/>
        <v>3989660.1100000003</v>
      </c>
      <c r="I445" s="27">
        <f t="shared" si="25"/>
        <v>0</v>
      </c>
      <c r="J445" s="27">
        <f>PK!I65</f>
        <v>0</v>
      </c>
      <c r="K445" s="27">
        <f>PK!J65</f>
        <v>0</v>
      </c>
      <c r="L445" s="27">
        <f>PK!K65</f>
        <v>0</v>
      </c>
      <c r="M445" s="27">
        <f>PK!L65</f>
        <v>0</v>
      </c>
      <c r="N445" s="27">
        <f>PK!M65</f>
        <v>0</v>
      </c>
      <c r="O445" s="27">
        <f>PK!N65</f>
        <v>0</v>
      </c>
      <c r="P445" s="27">
        <f>PK!O65</f>
        <v>0</v>
      </c>
      <c r="Q445" s="27">
        <f>PK!P65</f>
        <v>0</v>
      </c>
      <c r="R445" s="27">
        <f>PK!Q65</f>
        <v>153366</v>
      </c>
      <c r="S445" s="27">
        <f>PK!R65</f>
        <v>0</v>
      </c>
      <c r="T445" s="27">
        <f>PK!S65</f>
        <v>0</v>
      </c>
      <c r="U445" s="27">
        <f>PK!T65</f>
        <v>0</v>
      </c>
      <c r="V445" s="27">
        <f>PK!U65</f>
        <v>0</v>
      </c>
      <c r="W445" s="27">
        <f>PK!V65</f>
        <v>0</v>
      </c>
      <c r="X445" s="27">
        <f>PK!W65</f>
        <v>8007577</v>
      </c>
      <c r="Y445" s="27">
        <f>PK!X65</f>
        <v>8160943</v>
      </c>
      <c r="Z445" s="27">
        <f>PK!Y65</f>
        <v>0</v>
      </c>
      <c r="AA445" s="27">
        <f>PK!Z65</f>
        <v>8160943</v>
      </c>
    </row>
    <row r="446" spans="4:27" ht="12.75">
      <c r="D446" s="4" t="s">
        <v>795</v>
      </c>
      <c r="E446" s="4">
        <v>6</v>
      </c>
      <c r="F446" s="4">
        <f>PK!G66</f>
        <v>54</v>
      </c>
      <c r="G446" s="4">
        <f>IF(PK!H66&lt;&gt;"",PK!H66,"")</f>
      </c>
      <c r="H446" s="26">
        <f t="shared" si="24"/>
        <v>-2722192.3000000003</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802546</v>
      </c>
      <c r="X446" s="27">
        <f>PK!W66</f>
        <v>-6341662</v>
      </c>
      <c r="Y446" s="27">
        <f>PK!X66</f>
        <v>-5539116</v>
      </c>
      <c r="Z446" s="27">
        <f>PK!Y66</f>
        <v>0</v>
      </c>
      <c r="AA446" s="27">
        <f>PK!Z66</f>
        <v>-5539116</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20" activePane="bottomLeft" state="frozen"/>
      <selection pane="topLeft" activeCell="A2" sqref="A2"/>
      <selection pane="bottomLeft" activeCell="C76" sqref="C76:J76"/>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Plovput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4</v>
      </c>
      <c r="T3" s="206" t="s">
        <v>614</v>
      </c>
      <c r="U3" s="224" t="str">
        <f>RefStr!L21</f>
        <v>17544240268</v>
      </c>
      <c r="V3" s="206" t="s">
        <v>2736</v>
      </c>
      <c r="W3" s="224">
        <f>RefStr!C31</f>
        <v>21000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14480721492</v>
      </c>
      <c r="V4" s="206" t="s">
        <v>2737</v>
      </c>
      <c r="W4" s="224" t="str">
        <f>RefStr!F31</f>
        <v>Split</v>
      </c>
      <c r="X4" s="226" t="s">
        <v>1783</v>
      </c>
      <c r="Y4" s="227" t="str">
        <f>RefStr!I68</f>
        <v>DA</v>
      </c>
      <c r="Z4" s="206" t="s">
        <v>2970</v>
      </c>
      <c r="AA4" s="224" t="str">
        <f>RefStr!N19</f>
        <v>MSFI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2</v>
      </c>
      <c r="T5" s="206" t="s">
        <v>1560</v>
      </c>
      <c r="U5" s="224" t="str">
        <f>RefStr!H27</f>
        <v>03129489</v>
      </c>
      <c r="V5" s="206" t="s">
        <v>2738</v>
      </c>
      <c r="W5" s="224" t="str">
        <f>RefStr!C33</f>
        <v>Obala Lazareta 1 </v>
      </c>
      <c r="X5" s="226" t="s">
        <v>2929</v>
      </c>
      <c r="Y5" s="227" t="str">
        <f>RefStr!I62</f>
        <v>DA</v>
      </c>
      <c r="Z5" s="206" t="s">
        <v>927</v>
      </c>
      <c r="AA5" s="224">
        <f>RefStr!M46</f>
        <v>0</v>
      </c>
    </row>
    <row r="6" spans="1:27" ht="13.5" customHeight="1">
      <c r="A6" s="504"/>
      <c r="B6" s="505"/>
      <c r="C6" s="505"/>
      <c r="D6" s="505"/>
      <c r="E6" s="505"/>
      <c r="F6" s="505"/>
      <c r="G6" s="505"/>
      <c r="H6" s="505"/>
      <c r="I6" s="512"/>
      <c r="J6" s="513"/>
      <c r="L6" s="3"/>
      <c r="M6" s="3"/>
      <c r="N6" s="203" t="s">
        <v>557</v>
      </c>
      <c r="O6" s="206">
        <f>NT_D!Q1</f>
        <v>1</v>
      </c>
      <c r="P6" s="207">
        <f>NT_D!Q2</f>
        <v>1</v>
      </c>
      <c r="Q6" s="224">
        <f>NT_D!Q3</f>
        <v>1</v>
      </c>
      <c r="R6" s="206" t="s">
        <v>2886</v>
      </c>
      <c r="S6" s="224" t="str">
        <f>RefStr!C21</f>
        <v>NE</v>
      </c>
      <c r="T6" s="206" t="s">
        <v>1561</v>
      </c>
      <c r="U6" s="224" t="str">
        <f>RefStr!M27</f>
        <v>060132808</v>
      </c>
      <c r="V6" s="206" t="s">
        <v>2968</v>
      </c>
      <c r="W6" s="224" t="str">
        <f>RefStr!L35</f>
        <v>021/390-600</v>
      </c>
      <c r="X6" s="206" t="s">
        <v>2926</v>
      </c>
      <c r="Y6" s="224" t="str">
        <f>RefStr!C68</f>
        <v>Anja Milardović, dipl. oec.</v>
      </c>
      <c r="Z6" s="206" t="s">
        <v>2952</v>
      </c>
      <c r="AA6" s="224">
        <f>RefStr!C46</f>
        <v>0</v>
      </c>
    </row>
    <row r="7" spans="1:27" ht="13.5" customHeight="1">
      <c r="A7" s="504"/>
      <c r="B7" s="505"/>
      <c r="C7" s="505"/>
      <c r="D7" s="505"/>
      <c r="E7" s="505"/>
      <c r="F7" s="505"/>
      <c r="G7" s="505"/>
      <c r="H7" s="505"/>
      <c r="I7" s="214" t="s">
        <v>211</v>
      </c>
      <c r="J7" s="216">
        <f>SUM(M12:M122)</f>
        <v>0</v>
      </c>
      <c r="N7" s="203" t="s">
        <v>795</v>
      </c>
      <c r="O7" s="206">
        <f>PK!AC1</f>
        <v>1</v>
      </c>
      <c r="P7" s="207">
        <f>PK!AC2</f>
        <v>1</v>
      </c>
      <c r="Q7" s="224">
        <f>PK!AC3</f>
        <v>1</v>
      </c>
      <c r="R7" s="206" t="s">
        <v>2969</v>
      </c>
      <c r="S7" s="224">
        <f>IF(RefStr!C44&lt;&gt;"",IF(ISERROR(INT(RefStr!C44)),0,RefStr!C44),0)</f>
        <v>7</v>
      </c>
      <c r="T7" s="206" t="s">
        <v>916</v>
      </c>
      <c r="U7" s="224">
        <f>RefStr!C7</f>
        <v>1</v>
      </c>
      <c r="V7" s="206" t="s">
        <v>2884</v>
      </c>
      <c r="W7" s="224" t="str">
        <f>TRIM(UPPER(RefStr!C35))</f>
        <v>PLOVPUT@PLOVPUT.HR</v>
      </c>
      <c r="X7" s="206" t="s">
        <v>2927</v>
      </c>
      <c r="Y7" s="224" t="str">
        <f>RefStr!C70</f>
        <v>021/390-643</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Javno trgovačko društvo</v>
      </c>
      <c r="V8" s="206" t="s">
        <v>2974</v>
      </c>
      <c r="W8" s="224" t="str">
        <f>RefStr!C42</f>
        <v>5222</v>
      </c>
      <c r="X8" s="206" t="s">
        <v>2928</v>
      </c>
      <c r="Y8" s="224" t="str">
        <f>TRIM(UPPER(RefStr!C72))</f>
        <v>ANJA.MILARDOVIC@PLOVPUT.HR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251</v>
      </c>
      <c r="Q9" s="223">
        <f>RefStr!F58</f>
        <v>252</v>
      </c>
      <c r="R9" s="206" t="s">
        <v>914</v>
      </c>
      <c r="S9" s="224">
        <f>IF(RefStr!F4&lt;&gt;"",RefStr!F4,0)</f>
        <v>44926</v>
      </c>
      <c r="T9" s="206" t="s">
        <v>891</v>
      </c>
      <c r="U9" s="224">
        <f>RefStr!C39</f>
        <v>409</v>
      </c>
      <c r="V9" s="206" t="s">
        <v>2951</v>
      </c>
      <c r="W9" s="224" t="str">
        <f>RefStr!D42</f>
        <v>Uslužne djelatnosti u vezi s vodenim p...</v>
      </c>
      <c r="X9" s="230" t="s">
        <v>1782</v>
      </c>
      <c r="Y9" s="231" t="str">
        <f>RefStr!I66</f>
        <v>DA</v>
      </c>
      <c r="Z9" s="228" t="s">
        <v>1781</v>
      </c>
      <c r="AA9" s="229" t="str">
        <f>RefStr!I64</f>
        <v>DA</v>
      </c>
    </row>
    <row r="10" spans="1:27" ht="13.5" customHeight="1">
      <c r="A10" s="498"/>
      <c r="B10" s="498"/>
      <c r="C10" s="498"/>
      <c r="D10" s="498"/>
      <c r="E10" s="498"/>
      <c r="F10" s="498"/>
      <c r="G10" s="498"/>
      <c r="H10" s="498"/>
      <c r="I10" s="498"/>
      <c r="J10" s="498"/>
      <c r="L10" s="190"/>
      <c r="M10" s="190"/>
      <c r="O10" s="222" t="s">
        <v>1998</v>
      </c>
      <c r="P10" s="208">
        <f>RefStr!C56</f>
        <v>256</v>
      </c>
      <c r="Q10" s="225">
        <f>RefStr!F56</f>
        <v>258</v>
      </c>
      <c r="R10" s="208" t="s">
        <v>917</v>
      </c>
      <c r="S10" s="225">
        <f>RefStr!C23</f>
        <v>1</v>
      </c>
      <c r="T10" s="208" t="s">
        <v>2973</v>
      </c>
      <c r="U10" s="225" t="str">
        <f>RefStr!D39</f>
        <v>Split</v>
      </c>
      <c r="V10" s="232"/>
      <c r="W10" s="233"/>
      <c r="X10" s="234" t="s">
        <v>2279</v>
      </c>
      <c r="Y10" s="235">
        <f>RefStr!F12</f>
        <v>2022</v>
      </c>
      <c r="Z10" s="208" t="s">
        <v>1771</v>
      </c>
      <c r="AA10" s="225" t="str">
        <f>RefStr!A75</f>
        <v>doc.dr.sc.Mate Perišić, dipl.ing</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4, a upisana veličina je 4.</v>
      </c>
      <c r="D50" s="491"/>
      <c r="E50" s="491"/>
      <c r="F50" s="491"/>
      <c r="G50" s="491"/>
      <c r="H50" s="491"/>
      <c r="I50" s="491"/>
      <c r="J50" s="491"/>
      <c r="L50" s="190">
        <f>IF(N50&lt;&gt;S3,1,0)</f>
        <v>0</v>
      </c>
      <c r="M50" s="190"/>
      <c r="N50" s="190">
        <f>IF(P8&gt;0,O50,AC50)</f>
        <v>4</v>
      </c>
      <c r="O50" s="194">
        <f>IF(SUM(Y50:AA50)&gt;1,4,IF(SUM(U50:W50)&gt;1,3,IF(SUM(Q50:S50)&gt;1,2,IF(S6="DA",2,1))))</f>
        <v>4</v>
      </c>
      <c r="P50" s="197" t="s">
        <v>1794</v>
      </c>
      <c r="Q50" s="197">
        <f>IF(Bilanca!I73&gt;2600000,1,0)</f>
        <v>1</v>
      </c>
      <c r="R50" s="196">
        <f>IF(RDG!I60&gt;5200000,1,0)</f>
        <v>1</v>
      </c>
      <c r="S50" s="196">
        <f>IF(P10&gt;10,1,0)</f>
        <v>1</v>
      </c>
      <c r="T50" s="196" t="s">
        <v>2256</v>
      </c>
      <c r="U50" s="196">
        <f>IF(Bilanca!I73&gt;30000000,1,0)</f>
        <v>1</v>
      </c>
      <c r="V50" s="196">
        <f>IF(RDG!I60&gt;60000000,1,0)</f>
        <v>1</v>
      </c>
      <c r="W50" s="196">
        <f>IF(P10&gt;50,1,0)</f>
        <v>1</v>
      </c>
      <c r="X50" s="196" t="s">
        <v>2257</v>
      </c>
      <c r="Y50" s="196">
        <f>IF(Bilanca!I73&gt;150000000,1,0)</f>
        <v>1</v>
      </c>
      <c r="Z50" s="196">
        <f>IF(RDG!I60&gt;300000000,1,0)</f>
        <v>0</v>
      </c>
      <c r="AA50" s="196">
        <f>IF(P10&gt;250,1,0)</f>
        <v>1</v>
      </c>
      <c r="AC50" s="194">
        <f>IF(SUM(AM50:AO50)&gt;1,4,IF(SUM(AI50:AK50)&gt;1,3,IF(SUM(AE50:AG50)&gt;1,2,IF(S6="DA",2,1))))</f>
        <v>4</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1</v>
      </c>
      <c r="AK50" s="196">
        <f>IF(Q10&gt;50,1,0)</f>
        <v>1</v>
      </c>
      <c r="AL50" s="196" t="s">
        <v>2257</v>
      </c>
      <c r="AM50" s="196">
        <f>IF(Bilanca!J73&gt;150000000,1,0)</f>
        <v>1</v>
      </c>
      <c r="AN50" s="196">
        <f>IF(S9&gt;S8,IF(RDG!J60*365/(S9-S8)&gt;300000000,1,0),0)</f>
        <v>0</v>
      </c>
      <c r="AO50" s="196">
        <f>IF(Q10&gt;250,1,0)</f>
        <v>1</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1</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d:\Users\amilardovic\AppData\Local\Microsoft\Windows\INetCache\Content.Outlook\W7OICWZ9\[GFI-POD 2022.xls]RefStr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B13" sqref="B13:J13"/>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7" activePane="bottomLeft" state="frozen"/>
      <selection pane="topLeft" activeCell="A1" sqref="A1"/>
      <selection pane="bottomLeft" activeCell="C19" sqref="C19"/>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44562</v>
      </c>
      <c r="D4" s="319"/>
      <c r="E4" s="7" t="s">
        <v>560</v>
      </c>
      <c r="F4" s="318">
        <v>44926</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1</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2022</v>
      </c>
      <c r="G12" s="313"/>
      <c r="H12" s="305" t="s">
        <v>1983</v>
      </c>
      <c r="I12" s="306"/>
      <c r="J12" s="306"/>
      <c r="K12" s="152"/>
      <c r="L12" s="152"/>
      <c r="M12" s="152"/>
      <c r="N12" s="152"/>
      <c r="P12" s="50" t="s">
        <v>1561</v>
      </c>
      <c r="Q12" s="51">
        <f>INT(VALUE(H27))/10</f>
        <v>312948.9</v>
      </c>
    </row>
    <row r="13" spans="4:17" ht="9.75" customHeight="1">
      <c r="D13" s="152"/>
      <c r="E13" s="158"/>
      <c r="H13" s="23"/>
      <c r="I13" s="159"/>
      <c r="J13" s="159"/>
      <c r="K13" s="152"/>
      <c r="L13" s="152"/>
      <c r="M13" s="152"/>
      <c r="N13" s="152"/>
      <c r="P13" s="50" t="s">
        <v>1561</v>
      </c>
      <c r="Q13" s="51">
        <f>INT(VALUE(M27))/50</f>
        <v>1202656.16</v>
      </c>
    </row>
    <row r="14" spans="1:17" ht="15">
      <c r="A14" s="289" t="s">
        <v>1312</v>
      </c>
      <c r="B14" s="289"/>
      <c r="C14" s="289"/>
      <c r="D14" s="160"/>
      <c r="E14" s="161"/>
      <c r="F14" s="287"/>
      <c r="G14" s="288"/>
      <c r="H14" s="288"/>
      <c r="I14" s="152"/>
      <c r="J14" s="310" t="s">
        <v>1978</v>
      </c>
      <c r="K14" s="311"/>
      <c r="L14" s="311"/>
      <c r="M14" s="311"/>
      <c r="N14" s="311"/>
      <c r="P14" s="50" t="s">
        <v>1316</v>
      </c>
      <c r="Q14" s="51">
        <f>INT(VALUE(C27))/100</f>
        <v>144807214.92</v>
      </c>
    </row>
    <row r="15" spans="1:17" ht="19.5" customHeight="1">
      <c r="A15" s="307">
        <f>Skriveni!B59</f>
        <v>5570469444.940001</v>
      </c>
      <c r="B15" s="308"/>
      <c r="C15" s="309"/>
      <c r="D15" s="56"/>
      <c r="E15" s="56"/>
      <c r="F15" s="56"/>
      <c r="G15" s="56"/>
      <c r="H15" s="56"/>
      <c r="I15" s="56"/>
      <c r="J15" s="56"/>
      <c r="K15" s="56"/>
      <c r="L15" s="56"/>
      <c r="M15" s="56"/>
      <c r="N15" s="56"/>
      <c r="P15" s="50" t="s">
        <v>887</v>
      </c>
      <c r="Q15" s="51">
        <f>LEN(Skriveni!B9)</f>
        <v>14</v>
      </c>
    </row>
    <row r="16" spans="4:17" ht="12.75" customHeight="1">
      <c r="D16" s="56"/>
      <c r="E16" s="56"/>
      <c r="F16" s="56"/>
      <c r="G16" s="56"/>
      <c r="H16" s="56"/>
      <c r="I16" s="56"/>
      <c r="P16" s="50" t="s">
        <v>888</v>
      </c>
      <c r="Q16" s="51">
        <f>INT(VALUE(C31))/100</f>
        <v>210</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5</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2</v>
      </c>
      <c r="D19" s="292" t="str">
        <f>IF(C19="","Upišite svrhu predaje",IF(ISNA(LOOKUP(C19,A118:A120,A118:A120)),"Nepostojeća ili neprepoznatljiva svrha predaje",IF(LOOKUP(C19,A118:A120,A118:A120)&lt;&gt;C19,"Nepostojeća ili neprepoznatljiva svrha predaje",LOOKUP(C19,A118:A120,B118:B120))))</f>
        <v>Predaja samo u svrhu javne objave</v>
      </c>
      <c r="E19" s="293"/>
      <c r="F19" s="293"/>
      <c r="G19" s="293"/>
      <c r="H19" s="293"/>
      <c r="I19" s="296" t="s">
        <v>198</v>
      </c>
      <c r="J19" s="291"/>
      <c r="K19" s="291"/>
      <c r="L19" s="291"/>
      <c r="M19" s="291"/>
      <c r="N19" s="32" t="s">
        <v>2982</v>
      </c>
      <c r="P19" s="50" t="s">
        <v>890</v>
      </c>
      <c r="Q19" s="51">
        <f>LEN(Skriveni!B12)</f>
        <v>16</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1587</v>
      </c>
      <c r="J21" s="290" t="s">
        <v>1988</v>
      </c>
      <c r="K21" s="291"/>
      <c r="L21" s="282" t="s">
        <v>3027</v>
      </c>
      <c r="M21" s="283"/>
      <c r="N21" s="284"/>
      <c r="P21" s="50" t="s">
        <v>891</v>
      </c>
      <c r="Q21" s="51">
        <f>INT(VALUE(C39))</f>
        <v>409</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5222</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2983</v>
      </c>
      <c r="D27" s="374"/>
      <c r="E27" s="284"/>
      <c r="F27" s="370" t="s">
        <v>2787</v>
      </c>
      <c r="G27" s="373"/>
      <c r="H27" s="282" t="s">
        <v>2984</v>
      </c>
      <c r="I27" s="372"/>
      <c r="J27" s="370" t="s">
        <v>1977</v>
      </c>
      <c r="K27" s="281"/>
      <c r="L27" s="280"/>
      <c r="M27" s="282" t="s">
        <v>2985</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2986</v>
      </c>
      <c r="D29" s="348"/>
      <c r="E29" s="348"/>
      <c r="F29" s="348"/>
      <c r="G29" s="348"/>
      <c r="H29" s="348"/>
      <c r="I29" s="348"/>
      <c r="J29" s="348"/>
      <c r="K29" s="348"/>
      <c r="L29" s="349"/>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21000</v>
      </c>
      <c r="D31" s="343" t="s">
        <v>929</v>
      </c>
      <c r="E31" s="344"/>
      <c r="F31" s="345" t="s">
        <v>1383</v>
      </c>
      <c r="G31" s="346"/>
      <c r="H31" s="346"/>
      <c r="I31" s="346"/>
      <c r="J31" s="346"/>
      <c r="K31" s="346"/>
      <c r="L31" s="347"/>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2990</v>
      </c>
      <c r="D33" s="348"/>
      <c r="E33" s="348"/>
      <c r="F33" s="348"/>
      <c r="G33" s="348"/>
      <c r="H33" s="348"/>
      <c r="I33" s="348"/>
      <c r="J33" s="348"/>
      <c r="K33" s="348"/>
      <c r="L33" s="349"/>
      <c r="M33" s="56"/>
      <c r="N33" s="56"/>
      <c r="P33" s="50" t="s">
        <v>894</v>
      </c>
      <c r="Q33" s="51">
        <f>INT(VALUE(Skriveni!B21))</f>
        <v>3</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2987</v>
      </c>
      <c r="D35" s="277"/>
      <c r="E35" s="277"/>
      <c r="F35" s="277"/>
      <c r="G35" s="277"/>
      <c r="H35" s="277"/>
      <c r="I35" s="278"/>
      <c r="J35" s="275" t="s">
        <v>1750</v>
      </c>
      <c r="K35" s="296"/>
      <c r="L35" s="282" t="s">
        <v>2989</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2988</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409</v>
      </c>
      <c r="D39" s="358" t="str">
        <f>IF(C39="","Upišite šifru grada/općine",IF(ISNA(LOOKUP(C39,A177:A732,A177:A732)),"Šifra grada/općine ne postoji",IF(LOOKUP(C39,A177:A732,A177:A732)&lt;&gt;C39,"Šifra grada/općine ne postoji",LOOKUP(C39,A177:A732,B177:B732))))</f>
        <v>Split</v>
      </c>
      <c r="E39" s="359"/>
      <c r="F39" s="359"/>
      <c r="G39" s="359"/>
      <c r="H39" s="279" t="s">
        <v>2109</v>
      </c>
      <c r="I39" s="280"/>
      <c r="J39" s="54">
        <f>IF(C39&gt;0,LOOKUP(C39,A177:A732,C177:C732),"")</f>
        <v>17</v>
      </c>
      <c r="K39" s="350" t="str">
        <f>IF(J39="","Upišite šifru grada/općine",LOOKUP(J39,A153:A173,B153:B173))</f>
        <v>SPLITSKO-DALMATINSKA</v>
      </c>
      <c r="L39" s="350"/>
      <c r="M39" s="350"/>
      <c r="N39" s="350"/>
      <c r="P39" s="50" t="s">
        <v>896</v>
      </c>
      <c r="Q39" s="51">
        <f>C56+2*F56+3*C58+4*F58</f>
        <v>2533</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480</v>
      </c>
      <c r="D42" s="356" t="str">
        <f>IF(C42="","Upišite šifru razreda glavne djelatnosti",IF(ISNA(LOOKUP(C42,A736:A1351,A736:A1351)),"Šifra NKD-a ne postoji",IF(LOOKUP(C42,A736:A1351,A736:A1351)&lt;&gt;C42,"Šifra NKD-a ne postoji",LOOKUP(C42,A736:A1351,B736:B1351))))</f>
        <v>Uslužne djelatnosti u vezi s vodenim p...</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7</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81"/>
      <c r="F44" s="381"/>
      <c r="G44" s="381"/>
      <c r="H44" s="381"/>
      <c r="I44" s="381"/>
      <c r="J44" s="381"/>
      <c r="K44" s="381"/>
      <c r="L44" s="381"/>
      <c r="M44" s="381"/>
      <c r="N44" s="381"/>
      <c r="P44" s="50" t="s">
        <v>1299</v>
      </c>
      <c r="Q44" s="51">
        <f>LEN(Skriveni!B43)</f>
        <v>32</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175442402.68</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4</v>
      </c>
      <c r="D50" s="379" t="str">
        <f>IF(C50="","Upišite oznaku veličine",IF(ISNA(LOOKUP(C50,A124:A127,A124:A127)),"Nepostojeća oznaka veličine",IF(LOOKUP(C50,A124:A127,A124:A127)&lt;&gt;C50,"Nepostojeća oznaka veličine",LOOKUP(C50,A124:A127,B124:B127))))</f>
        <v>Veliki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1.2</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NE</v>
      </c>
      <c r="J54" s="363" t="s">
        <v>820</v>
      </c>
      <c r="K54" s="339"/>
      <c r="L54" s="339"/>
      <c r="M54" s="339"/>
      <c r="N54" s="339"/>
      <c r="O54" s="182"/>
      <c r="P54" s="50" t="s">
        <v>2969</v>
      </c>
      <c r="Q54" s="50">
        <f>C44/10</f>
        <v>0.7</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256</v>
      </c>
      <c r="D56" s="272" t="s">
        <v>2653</v>
      </c>
      <c r="E56" s="362"/>
      <c r="F56" s="40">
        <v>258</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251</v>
      </c>
      <c r="D58" s="354" t="s">
        <v>2653</v>
      </c>
      <c r="E58" s="354"/>
      <c r="F58" s="40">
        <v>252</v>
      </c>
      <c r="G58" s="354" t="s">
        <v>2654</v>
      </c>
      <c r="H58" s="354"/>
      <c r="I58" s="5" t="str">
        <f>IF(OR(NT_I!Q1&lt;&gt;0,NT_D!Q1&lt;&gt;0),"DA","NE")</f>
        <v>DA</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DA</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1587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1587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3026</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3023</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3024</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3025</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68" activePane="bottomLeft" state="frozen"/>
      <selection pane="topLeft" activeCell="A1" sqref="A1"/>
      <selection pane="bottomLeft" activeCell="J96" sqref="J96"/>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14480721492; Plovput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125948531</v>
      </c>
      <c r="J10" s="66">
        <f>J11+J18+J28+J39+J44</f>
        <v>126655551</v>
      </c>
    </row>
    <row r="11" spans="1:10" ht="13.5" customHeight="1">
      <c r="A11" s="390" t="s">
        <v>904</v>
      </c>
      <c r="B11" s="390"/>
      <c r="C11" s="390"/>
      <c r="D11" s="390"/>
      <c r="E11" s="390"/>
      <c r="F11" s="390"/>
      <c r="G11" s="15">
        <v>3</v>
      </c>
      <c r="H11" s="16" t="s">
        <v>2991</v>
      </c>
      <c r="I11" s="66">
        <f>SUM(I12:I17)</f>
        <v>2123287</v>
      </c>
      <c r="J11" s="66">
        <f>SUM(J12:J17)</f>
        <v>3749421</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v>1577902</v>
      </c>
      <c r="J13" s="67">
        <v>1508723</v>
      </c>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v>545385</v>
      </c>
      <c r="J16" s="67">
        <v>2240698</v>
      </c>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t="s">
        <v>2992</v>
      </c>
      <c r="I18" s="66">
        <f>SUM(I19:I27)</f>
        <v>121841012</v>
      </c>
      <c r="J18" s="66">
        <f>SUM(J19:J27)</f>
        <v>120955998</v>
      </c>
    </row>
    <row r="19" spans="1:10" ht="13.5" customHeight="1">
      <c r="A19" s="387" t="s">
        <v>733</v>
      </c>
      <c r="B19" s="387"/>
      <c r="C19" s="387"/>
      <c r="D19" s="387"/>
      <c r="E19" s="387"/>
      <c r="F19" s="387"/>
      <c r="G19" s="15">
        <v>11</v>
      </c>
      <c r="H19" s="16"/>
      <c r="I19" s="67">
        <v>983268</v>
      </c>
      <c r="J19" s="67">
        <v>983268</v>
      </c>
    </row>
    <row r="20" spans="1:10" ht="13.5" customHeight="1">
      <c r="A20" s="387" t="s">
        <v>796</v>
      </c>
      <c r="B20" s="387"/>
      <c r="C20" s="387"/>
      <c r="D20" s="387"/>
      <c r="E20" s="387"/>
      <c r="F20" s="387"/>
      <c r="G20" s="15">
        <v>12</v>
      </c>
      <c r="H20" s="16"/>
      <c r="I20" s="67">
        <v>52905806</v>
      </c>
      <c r="J20" s="67">
        <v>53167609</v>
      </c>
    </row>
    <row r="21" spans="1:10" ht="13.5" customHeight="1">
      <c r="A21" s="387" t="s">
        <v>734</v>
      </c>
      <c r="B21" s="387"/>
      <c r="C21" s="387"/>
      <c r="D21" s="387"/>
      <c r="E21" s="387"/>
      <c r="F21" s="387"/>
      <c r="G21" s="15">
        <v>13</v>
      </c>
      <c r="H21" s="16"/>
      <c r="I21" s="67">
        <v>12517938</v>
      </c>
      <c r="J21" s="67">
        <v>13190974</v>
      </c>
    </row>
    <row r="22" spans="1:10" ht="13.5" customHeight="1">
      <c r="A22" s="387" t="s">
        <v>405</v>
      </c>
      <c r="B22" s="387"/>
      <c r="C22" s="387"/>
      <c r="D22" s="387"/>
      <c r="E22" s="387"/>
      <c r="F22" s="387"/>
      <c r="G22" s="15">
        <v>14</v>
      </c>
      <c r="H22" s="16"/>
      <c r="I22" s="67">
        <v>44887542</v>
      </c>
      <c r="J22" s="67">
        <v>43151830</v>
      </c>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v>2152690</v>
      </c>
      <c r="J25" s="67">
        <v>2550363</v>
      </c>
    </row>
    <row r="26" spans="1:10" ht="13.5" customHeight="1">
      <c r="A26" s="387" t="s">
        <v>2693</v>
      </c>
      <c r="B26" s="387"/>
      <c r="C26" s="387"/>
      <c r="D26" s="387"/>
      <c r="E26" s="387"/>
      <c r="F26" s="387"/>
      <c r="G26" s="15">
        <v>18</v>
      </c>
      <c r="H26" s="16"/>
      <c r="I26" s="67">
        <v>26573</v>
      </c>
      <c r="J26" s="67">
        <v>40135</v>
      </c>
    </row>
    <row r="27" spans="1:10" ht="13.5" customHeight="1">
      <c r="A27" s="387" t="s">
        <v>2694</v>
      </c>
      <c r="B27" s="387"/>
      <c r="C27" s="387"/>
      <c r="D27" s="387"/>
      <c r="E27" s="387"/>
      <c r="F27" s="387"/>
      <c r="G27" s="15">
        <v>19</v>
      </c>
      <c r="H27" s="16"/>
      <c r="I27" s="67">
        <v>8367195</v>
      </c>
      <c r="J27" s="67">
        <v>7871819</v>
      </c>
    </row>
    <row r="28" spans="1:10" ht="13.5" customHeight="1">
      <c r="A28" s="390" t="s">
        <v>1261</v>
      </c>
      <c r="B28" s="390"/>
      <c r="C28" s="390"/>
      <c r="D28" s="390"/>
      <c r="E28" s="390"/>
      <c r="F28" s="390"/>
      <c r="G28" s="15">
        <v>20</v>
      </c>
      <c r="H28" s="16" t="s">
        <v>2993</v>
      </c>
      <c r="I28" s="66">
        <f>SUM(I29:I38)</f>
        <v>1698207</v>
      </c>
      <c r="J28" s="66">
        <f>SUM(J29:J38)</f>
        <v>1620917</v>
      </c>
    </row>
    <row r="29" spans="1:10" ht="13.5" customHeight="1">
      <c r="A29" s="387" t="s">
        <v>705</v>
      </c>
      <c r="B29" s="387"/>
      <c r="C29" s="387"/>
      <c r="D29" s="387"/>
      <c r="E29" s="387"/>
      <c r="F29" s="387"/>
      <c r="G29" s="15">
        <v>21</v>
      </c>
      <c r="H29" s="16" t="s">
        <v>2994</v>
      </c>
      <c r="I29" s="67">
        <v>105900</v>
      </c>
      <c r="J29" s="67">
        <v>105900</v>
      </c>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t="s">
        <v>2995</v>
      </c>
      <c r="I32" s="67">
        <v>1146222</v>
      </c>
      <c r="J32" s="67">
        <v>1136032</v>
      </c>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t="s">
        <v>2996</v>
      </c>
      <c r="I36" s="67">
        <v>446085</v>
      </c>
      <c r="J36" s="67">
        <v>378985</v>
      </c>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t="s">
        <v>3028</v>
      </c>
      <c r="I39" s="66">
        <f>SUM(I40:I43)</f>
        <v>203</v>
      </c>
      <c r="J39" s="66">
        <f>SUM(J40:J43)</f>
        <v>47</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t="s">
        <v>3028</v>
      </c>
      <c r="I42" s="67">
        <v>146</v>
      </c>
      <c r="J42" s="67">
        <v>47</v>
      </c>
    </row>
    <row r="43" spans="1:10" ht="13.5" customHeight="1">
      <c r="A43" s="387" t="s">
        <v>160</v>
      </c>
      <c r="B43" s="387"/>
      <c r="C43" s="387"/>
      <c r="D43" s="387"/>
      <c r="E43" s="387"/>
      <c r="F43" s="387"/>
      <c r="G43" s="15">
        <v>35</v>
      </c>
      <c r="H43" s="16"/>
      <c r="I43" s="67">
        <v>57</v>
      </c>
      <c r="J43" s="67"/>
    </row>
    <row r="44" spans="1:10" ht="13.5" customHeight="1">
      <c r="A44" s="390" t="s">
        <v>1505</v>
      </c>
      <c r="B44" s="390"/>
      <c r="C44" s="390"/>
      <c r="D44" s="390"/>
      <c r="E44" s="390"/>
      <c r="F44" s="390"/>
      <c r="G44" s="15">
        <v>36</v>
      </c>
      <c r="H44" s="16" t="s">
        <v>2997</v>
      </c>
      <c r="I44" s="67">
        <v>285822</v>
      </c>
      <c r="J44" s="67">
        <v>329168</v>
      </c>
    </row>
    <row r="45" spans="1:10" ht="13.5" customHeight="1">
      <c r="A45" s="385" t="s">
        <v>1263</v>
      </c>
      <c r="B45" s="385"/>
      <c r="C45" s="385"/>
      <c r="D45" s="385"/>
      <c r="E45" s="385"/>
      <c r="F45" s="385"/>
      <c r="G45" s="15">
        <v>37</v>
      </c>
      <c r="H45" s="16"/>
      <c r="I45" s="66">
        <f>I46+I54+I61+I71</f>
        <v>40904844</v>
      </c>
      <c r="J45" s="66">
        <f>J46+J54+J61+J71</f>
        <v>44818782</v>
      </c>
    </row>
    <row r="46" spans="1:10" ht="13.5" customHeight="1">
      <c r="A46" s="390" t="s">
        <v>1264</v>
      </c>
      <c r="B46" s="390"/>
      <c r="C46" s="390"/>
      <c r="D46" s="390"/>
      <c r="E46" s="390"/>
      <c r="F46" s="390"/>
      <c r="G46" s="15">
        <v>38</v>
      </c>
      <c r="H46" s="16" t="s">
        <v>2998</v>
      </c>
      <c r="I46" s="66">
        <f>SUM(I47:I53)</f>
        <v>6245810</v>
      </c>
      <c r="J46" s="66">
        <f>SUM(J47:J53)</f>
        <v>7635753</v>
      </c>
    </row>
    <row r="47" spans="1:10" ht="13.5" customHeight="1">
      <c r="A47" s="387" t="s">
        <v>1892</v>
      </c>
      <c r="B47" s="387"/>
      <c r="C47" s="387"/>
      <c r="D47" s="387"/>
      <c r="E47" s="387"/>
      <c r="F47" s="387"/>
      <c r="G47" s="15">
        <v>39</v>
      </c>
      <c r="H47" s="16"/>
      <c r="I47" s="67">
        <v>6245810</v>
      </c>
      <c r="J47" s="67">
        <v>7635753</v>
      </c>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9329424</v>
      </c>
      <c r="J54" s="66">
        <f>SUM(J55:J60)</f>
        <v>8279471</v>
      </c>
    </row>
    <row r="55" spans="1:10" ht="13.5" customHeight="1">
      <c r="A55" s="387" t="s">
        <v>2007</v>
      </c>
      <c r="B55" s="387"/>
      <c r="C55" s="387"/>
      <c r="D55" s="387"/>
      <c r="E55" s="387"/>
      <c r="F55" s="387"/>
      <c r="G55" s="15">
        <v>47</v>
      </c>
      <c r="H55" s="16" t="s">
        <v>2999</v>
      </c>
      <c r="I55" s="67">
        <v>16199</v>
      </c>
      <c r="J55" s="67">
        <v>14133</v>
      </c>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t="s">
        <v>2999</v>
      </c>
      <c r="I57" s="67">
        <v>7637683</v>
      </c>
      <c r="J57" s="67">
        <v>6401667</v>
      </c>
    </row>
    <row r="58" spans="1:10" ht="13.5" customHeight="1">
      <c r="A58" s="387" t="s">
        <v>2009</v>
      </c>
      <c r="B58" s="387"/>
      <c r="C58" s="387"/>
      <c r="D58" s="387"/>
      <c r="E58" s="387"/>
      <c r="F58" s="387"/>
      <c r="G58" s="15">
        <v>50</v>
      </c>
      <c r="H58" s="16" t="s">
        <v>3000</v>
      </c>
      <c r="I58" s="67">
        <v>11529</v>
      </c>
      <c r="J58" s="67">
        <v>4400</v>
      </c>
    </row>
    <row r="59" spans="1:10" ht="13.5" customHeight="1">
      <c r="A59" s="387" t="s">
        <v>2010</v>
      </c>
      <c r="B59" s="387"/>
      <c r="C59" s="387"/>
      <c r="D59" s="387"/>
      <c r="E59" s="387"/>
      <c r="F59" s="387"/>
      <c r="G59" s="15">
        <v>51</v>
      </c>
      <c r="H59" s="16" t="s">
        <v>3000</v>
      </c>
      <c r="I59" s="67">
        <v>1108079</v>
      </c>
      <c r="J59" s="67">
        <v>1216210</v>
      </c>
    </row>
    <row r="60" spans="1:10" ht="13.5" customHeight="1">
      <c r="A60" s="387" t="s">
        <v>1255</v>
      </c>
      <c r="B60" s="387"/>
      <c r="C60" s="387"/>
      <c r="D60" s="387"/>
      <c r="E60" s="387"/>
      <c r="F60" s="387"/>
      <c r="G60" s="15">
        <v>52</v>
      </c>
      <c r="H60" s="16" t="s">
        <v>3000</v>
      </c>
      <c r="I60" s="67">
        <v>555934</v>
      </c>
      <c r="J60" s="67">
        <v>643061</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t="s">
        <v>3001</v>
      </c>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t="s">
        <v>3002</v>
      </c>
      <c r="I71" s="67">
        <v>25329610</v>
      </c>
      <c r="J71" s="67">
        <v>28903558</v>
      </c>
    </row>
    <row r="72" spans="1:10" ht="24.75" customHeight="1">
      <c r="A72" s="385" t="s">
        <v>591</v>
      </c>
      <c r="B72" s="385"/>
      <c r="C72" s="385"/>
      <c r="D72" s="385"/>
      <c r="E72" s="385"/>
      <c r="F72" s="385"/>
      <c r="G72" s="15">
        <v>64</v>
      </c>
      <c r="H72" s="16" t="s">
        <v>3003</v>
      </c>
      <c r="I72" s="67">
        <v>408502</v>
      </c>
      <c r="J72" s="67">
        <v>366026</v>
      </c>
    </row>
    <row r="73" spans="1:10" ht="13.5" customHeight="1">
      <c r="A73" s="385" t="s">
        <v>1267</v>
      </c>
      <c r="B73" s="385"/>
      <c r="C73" s="385"/>
      <c r="D73" s="385"/>
      <c r="E73" s="385"/>
      <c r="F73" s="385"/>
      <c r="G73" s="15">
        <v>65</v>
      </c>
      <c r="H73" s="16"/>
      <c r="I73" s="66">
        <f>I9+I10+I45+I72</f>
        <v>167261877</v>
      </c>
      <c r="J73" s="66">
        <f>J9+J10+J45+J72</f>
        <v>171840359</v>
      </c>
    </row>
    <row r="74" spans="1:10" ht="13.5" customHeight="1">
      <c r="A74" s="386" t="s">
        <v>1004</v>
      </c>
      <c r="B74" s="386"/>
      <c r="C74" s="386"/>
      <c r="D74" s="386"/>
      <c r="E74" s="386"/>
      <c r="F74" s="386"/>
      <c r="G74" s="17">
        <v>66</v>
      </c>
      <c r="H74" s="18"/>
      <c r="I74" s="68">
        <v>219377</v>
      </c>
      <c r="J74" s="68">
        <v>215672</v>
      </c>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t="s">
        <v>3004</v>
      </c>
      <c r="I76" s="66">
        <f>I77+I78+I79+I85+I86+I92+I95+I98</f>
        <v>138220095</v>
      </c>
      <c r="J76" s="66">
        <f>J77+J78+J79+J85+J86+J92+J95+J98</f>
        <v>140841922</v>
      </c>
      <c r="L76" s="2" t="s">
        <v>1209</v>
      </c>
    </row>
    <row r="77" spans="1:10" ht="13.5" customHeight="1">
      <c r="A77" s="390" t="s">
        <v>1857</v>
      </c>
      <c r="B77" s="390"/>
      <c r="C77" s="390"/>
      <c r="D77" s="390"/>
      <c r="E77" s="390"/>
      <c r="F77" s="390"/>
      <c r="G77" s="15">
        <v>68</v>
      </c>
      <c r="H77" s="16"/>
      <c r="I77" s="67">
        <v>111546200</v>
      </c>
      <c r="J77" s="67">
        <v>111546200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496239</v>
      </c>
      <c r="J86" s="66">
        <f>SUM(J87:J91)</f>
        <v>649605</v>
      </c>
      <c r="L86" s="2" t="s">
        <v>1209</v>
      </c>
    </row>
    <row r="87" spans="1:12" ht="24.75" customHeight="1">
      <c r="A87" s="387" t="s">
        <v>344</v>
      </c>
      <c r="B87" s="387"/>
      <c r="C87" s="387"/>
      <c r="D87" s="387"/>
      <c r="E87" s="387"/>
      <c r="F87" s="387"/>
      <c r="G87" s="15">
        <v>78</v>
      </c>
      <c r="H87" s="16"/>
      <c r="I87" s="67">
        <v>496239</v>
      </c>
      <c r="J87" s="67">
        <v>649605</v>
      </c>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19835994</v>
      </c>
      <c r="J92" s="66">
        <f>J93-J94</f>
        <v>20638540</v>
      </c>
      <c r="L92" s="2" t="s">
        <v>1209</v>
      </c>
    </row>
    <row r="93" spans="1:10" ht="13.5" customHeight="1">
      <c r="A93" s="387" t="s">
        <v>2830</v>
      </c>
      <c r="B93" s="387"/>
      <c r="C93" s="387"/>
      <c r="D93" s="387"/>
      <c r="E93" s="387"/>
      <c r="F93" s="387"/>
      <c r="G93" s="15">
        <v>84</v>
      </c>
      <c r="H93" s="16"/>
      <c r="I93" s="67">
        <v>19835994</v>
      </c>
      <c r="J93" s="67">
        <v>20638540</v>
      </c>
    </row>
    <row r="94" spans="1:10" ht="13.5" customHeight="1">
      <c r="A94" s="387" t="s">
        <v>2831</v>
      </c>
      <c r="B94" s="387"/>
      <c r="C94" s="387"/>
      <c r="D94" s="387"/>
      <c r="E94" s="387"/>
      <c r="F94" s="387"/>
      <c r="G94" s="15">
        <v>85</v>
      </c>
      <c r="H94" s="16"/>
      <c r="I94" s="67"/>
      <c r="J94" s="67"/>
    </row>
    <row r="95" spans="1:12" ht="13.5" customHeight="1">
      <c r="A95" s="390" t="s">
        <v>2487</v>
      </c>
      <c r="B95" s="390"/>
      <c r="C95" s="390"/>
      <c r="D95" s="390"/>
      <c r="E95" s="390"/>
      <c r="F95" s="390"/>
      <c r="G95" s="15">
        <v>86</v>
      </c>
      <c r="H95" s="16"/>
      <c r="I95" s="66">
        <f>I96-I97</f>
        <v>6341662</v>
      </c>
      <c r="J95" s="66">
        <f>J96-J97</f>
        <v>8007577</v>
      </c>
      <c r="L95" s="2" t="s">
        <v>1209</v>
      </c>
    </row>
    <row r="96" spans="1:10" ht="13.5" customHeight="1">
      <c r="A96" s="387" t="s">
        <v>1257</v>
      </c>
      <c r="B96" s="387"/>
      <c r="C96" s="387"/>
      <c r="D96" s="387"/>
      <c r="E96" s="387"/>
      <c r="F96" s="387"/>
      <c r="G96" s="15">
        <v>87</v>
      </c>
      <c r="H96" s="16"/>
      <c r="I96" s="67">
        <v>6341662</v>
      </c>
      <c r="J96" s="67">
        <v>8007577</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v>0</v>
      </c>
      <c r="J98" s="67">
        <v>0</v>
      </c>
      <c r="L98" s="2" t="s">
        <v>1209</v>
      </c>
    </row>
    <row r="99" spans="1:10" ht="13.5" customHeight="1">
      <c r="A99" s="385" t="s">
        <v>2488</v>
      </c>
      <c r="B99" s="385"/>
      <c r="C99" s="385"/>
      <c r="D99" s="385"/>
      <c r="E99" s="385"/>
      <c r="F99" s="385"/>
      <c r="G99" s="15">
        <v>90</v>
      </c>
      <c r="H99" s="16" t="s">
        <v>3005</v>
      </c>
      <c r="I99" s="66">
        <f>SUM(I100:I105)</f>
        <v>1670910</v>
      </c>
      <c r="J99" s="66">
        <f>SUM(J100:J105)</f>
        <v>1653604</v>
      </c>
    </row>
    <row r="100" spans="1:10" ht="13.5" customHeight="1">
      <c r="A100" s="387" t="s">
        <v>0</v>
      </c>
      <c r="B100" s="387"/>
      <c r="C100" s="387"/>
      <c r="D100" s="387"/>
      <c r="E100" s="387"/>
      <c r="F100" s="387"/>
      <c r="G100" s="15">
        <v>91</v>
      </c>
      <c r="H100" s="16" t="s">
        <v>3007</v>
      </c>
      <c r="I100" s="67">
        <v>1508910</v>
      </c>
      <c r="J100" s="67">
        <v>1383604</v>
      </c>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t="s">
        <v>3006</v>
      </c>
      <c r="I102" s="67">
        <v>162000</v>
      </c>
      <c r="J102" s="67">
        <v>270000</v>
      </c>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t="s">
        <v>3029</v>
      </c>
      <c r="I106" s="66">
        <f>SUM(I107:I117)</f>
        <v>2068327</v>
      </c>
      <c r="J106" s="66">
        <f>SUM(J107:J117)</f>
        <v>1406881</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c r="J112" s="67"/>
    </row>
    <row r="113" spans="1:10" ht="13.5" customHeight="1">
      <c r="A113" s="387" t="s">
        <v>2016</v>
      </c>
      <c r="B113" s="387"/>
      <c r="C113" s="387"/>
      <c r="D113" s="387"/>
      <c r="E113" s="387"/>
      <c r="F113" s="387"/>
      <c r="G113" s="15">
        <v>104</v>
      </c>
      <c r="H113" s="16" t="s">
        <v>3030</v>
      </c>
      <c r="I113" s="67">
        <v>990</v>
      </c>
      <c r="J113" s="67">
        <v>0</v>
      </c>
    </row>
    <row r="114" spans="1:10" ht="13.5" customHeight="1">
      <c r="A114" s="387" t="s">
        <v>2017</v>
      </c>
      <c r="B114" s="387"/>
      <c r="C114" s="387"/>
      <c r="D114" s="387"/>
      <c r="E114" s="387"/>
      <c r="F114" s="387"/>
      <c r="G114" s="15">
        <v>105</v>
      </c>
      <c r="H114" s="16" t="s">
        <v>3030</v>
      </c>
      <c r="I114" s="67">
        <v>1646495</v>
      </c>
      <c r="J114" s="67">
        <v>1053438</v>
      </c>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t="s">
        <v>3030</v>
      </c>
      <c r="I116" s="67">
        <v>311905</v>
      </c>
      <c r="J116" s="67">
        <v>246340</v>
      </c>
    </row>
    <row r="117" spans="1:10" ht="13.5" customHeight="1">
      <c r="A117" s="387" t="s">
        <v>1272</v>
      </c>
      <c r="B117" s="387"/>
      <c r="C117" s="387"/>
      <c r="D117" s="387"/>
      <c r="E117" s="387"/>
      <c r="F117" s="387"/>
      <c r="G117" s="15">
        <v>108</v>
      </c>
      <c r="H117" s="16" t="s">
        <v>3031</v>
      </c>
      <c r="I117" s="67">
        <v>108937</v>
      </c>
      <c r="J117" s="67">
        <v>107103</v>
      </c>
    </row>
    <row r="118" spans="1:10" ht="13.5" customHeight="1">
      <c r="A118" s="385" t="s">
        <v>2490</v>
      </c>
      <c r="B118" s="385"/>
      <c r="C118" s="385"/>
      <c r="D118" s="385"/>
      <c r="E118" s="385"/>
      <c r="F118" s="385"/>
      <c r="G118" s="15">
        <v>109</v>
      </c>
      <c r="H118" s="16" t="s">
        <v>3008</v>
      </c>
      <c r="I118" s="66">
        <f>SUM(I119:I132)</f>
        <v>9784631</v>
      </c>
      <c r="J118" s="66">
        <f>SUM(J119:J132)</f>
        <v>12887394</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c r="J124" s="67"/>
    </row>
    <row r="125" spans="1:10" ht="13.5" customHeight="1">
      <c r="A125" s="387" t="s">
        <v>2016</v>
      </c>
      <c r="B125" s="387"/>
      <c r="C125" s="387"/>
      <c r="D125" s="387"/>
      <c r="E125" s="387"/>
      <c r="F125" s="387"/>
      <c r="G125" s="15">
        <v>116</v>
      </c>
      <c r="H125" s="16" t="s">
        <v>3010</v>
      </c>
      <c r="I125" s="67">
        <v>22002</v>
      </c>
      <c r="J125" s="67">
        <v>495597</v>
      </c>
    </row>
    <row r="126" spans="1:10" ht="13.5" customHeight="1">
      <c r="A126" s="387" t="s">
        <v>2017</v>
      </c>
      <c r="B126" s="387"/>
      <c r="C126" s="387"/>
      <c r="D126" s="387"/>
      <c r="E126" s="387"/>
      <c r="F126" s="387"/>
      <c r="G126" s="15">
        <v>117</v>
      </c>
      <c r="H126" s="16" t="s">
        <v>3011</v>
      </c>
      <c r="I126" s="67">
        <v>5236507</v>
      </c>
      <c r="J126" s="67">
        <v>5325543</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t="s">
        <v>3009</v>
      </c>
      <c r="I128" s="67">
        <v>2479197</v>
      </c>
      <c r="J128" s="67">
        <v>3613957</v>
      </c>
    </row>
    <row r="129" spans="1:10" ht="13.5" customHeight="1">
      <c r="A129" s="387" t="s">
        <v>2023</v>
      </c>
      <c r="B129" s="387"/>
      <c r="C129" s="387"/>
      <c r="D129" s="387"/>
      <c r="E129" s="387"/>
      <c r="F129" s="387"/>
      <c r="G129" s="15">
        <v>120</v>
      </c>
      <c r="H129" s="16" t="s">
        <v>3009</v>
      </c>
      <c r="I129" s="67">
        <v>1794085</v>
      </c>
      <c r="J129" s="67">
        <v>3206541</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t="s">
        <v>3009</v>
      </c>
      <c r="I132" s="67">
        <v>252840</v>
      </c>
      <c r="J132" s="67">
        <v>245756</v>
      </c>
    </row>
    <row r="133" spans="1:10" ht="24.75" customHeight="1">
      <c r="A133" s="385" t="s">
        <v>593</v>
      </c>
      <c r="B133" s="385"/>
      <c r="C133" s="385"/>
      <c r="D133" s="385"/>
      <c r="E133" s="385"/>
      <c r="F133" s="385"/>
      <c r="G133" s="15">
        <v>124</v>
      </c>
      <c r="H133" s="16" t="s">
        <v>3012</v>
      </c>
      <c r="I133" s="67">
        <v>15517914</v>
      </c>
      <c r="J133" s="67">
        <v>15050558</v>
      </c>
    </row>
    <row r="134" spans="1:10" ht="13.5" customHeight="1">
      <c r="A134" s="385" t="s">
        <v>360</v>
      </c>
      <c r="B134" s="385"/>
      <c r="C134" s="385"/>
      <c r="D134" s="385"/>
      <c r="E134" s="385"/>
      <c r="F134" s="385"/>
      <c r="G134" s="15">
        <v>125</v>
      </c>
      <c r="H134" s="16"/>
      <c r="I134" s="66">
        <f>I76+I99+I106+I118+I133</f>
        <v>167261877</v>
      </c>
      <c r="J134" s="66">
        <f>J76+J99+J106+J118+J133</f>
        <v>171840359</v>
      </c>
    </row>
    <row r="135" spans="1:10" ht="13.5" customHeight="1">
      <c r="A135" s="386" t="s">
        <v>1512</v>
      </c>
      <c r="B135" s="386"/>
      <c r="C135" s="386"/>
      <c r="D135" s="386"/>
      <c r="E135" s="386"/>
      <c r="F135" s="386"/>
      <c r="G135" s="17">
        <v>126</v>
      </c>
      <c r="H135" s="18"/>
      <c r="I135" s="68">
        <v>219377</v>
      </c>
      <c r="J135" s="68">
        <v>215672</v>
      </c>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77:J77 I99:J135 I96:J97 I93:J94 I9:J7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101" activePane="bottomLeft" state="frozen"/>
      <selection pane="topLeft" activeCell="A1" sqref="A1"/>
      <selection pane="bottomLeft" activeCell="J89" sqref="J89"/>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18"/>
      <c r="C2" s="418"/>
      <c r="D2" s="418"/>
      <c r="E2" s="418"/>
      <c r="F2" s="418"/>
      <c r="G2" s="418"/>
      <c r="H2" s="418"/>
      <c r="I2" s="419"/>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0"/>
      <c r="C3" s="420"/>
      <c r="D3" s="420"/>
      <c r="E3" s="420"/>
      <c r="F3" s="420"/>
      <c r="G3" s="420"/>
      <c r="H3" s="420"/>
      <c r="I3" s="421"/>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14480721492; Plovput d.o.o.</v>
      </c>
      <c r="B5" s="416"/>
      <c r="C5" s="416"/>
      <c r="D5" s="416"/>
      <c r="E5" s="416"/>
      <c r="F5" s="416"/>
      <c r="G5" s="416"/>
      <c r="H5" s="416"/>
      <c r="I5" s="416"/>
      <c r="J5" s="417"/>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1</v>
      </c>
      <c r="R7" s="69" t="s">
        <v>634</v>
      </c>
    </row>
    <row r="8" spans="1:18" s="2" customFormat="1" ht="14.25" customHeight="1">
      <c r="A8" s="414" t="s">
        <v>2491</v>
      </c>
      <c r="B8" s="414"/>
      <c r="C8" s="414"/>
      <c r="D8" s="414"/>
      <c r="E8" s="414"/>
      <c r="F8" s="414"/>
      <c r="G8" s="13">
        <v>127</v>
      </c>
      <c r="H8" s="14" t="s">
        <v>3013</v>
      </c>
      <c r="I8" s="80">
        <f>SUM(I9:I13)</f>
        <v>78720243</v>
      </c>
      <c r="J8" s="80">
        <f>SUM(J9:J13)</f>
        <v>91890400</v>
      </c>
      <c r="Q8" s="2">
        <f>IF(OR(MIN(I70:J75)&lt;&gt;0,MAX(I70:J75)&lt;&gt;0),1,0)</f>
        <v>0</v>
      </c>
      <c r="R8" s="69" t="s">
        <v>1215</v>
      </c>
    </row>
    <row r="9" spans="1:10" s="2" customFormat="1" ht="14.25" customHeight="1">
      <c r="A9" s="387" t="s">
        <v>347</v>
      </c>
      <c r="B9" s="387"/>
      <c r="C9" s="387"/>
      <c r="D9" s="387"/>
      <c r="E9" s="387"/>
      <c r="F9" s="387"/>
      <c r="G9" s="15">
        <v>128</v>
      </c>
      <c r="H9" s="16" t="s">
        <v>3014</v>
      </c>
      <c r="I9" s="67">
        <v>30000</v>
      </c>
      <c r="J9" s="67">
        <v>30000</v>
      </c>
    </row>
    <row r="10" spans="1:10" s="2" customFormat="1" ht="14.25" customHeight="1">
      <c r="A10" s="387" t="s">
        <v>964</v>
      </c>
      <c r="B10" s="387"/>
      <c r="C10" s="387"/>
      <c r="D10" s="387"/>
      <c r="E10" s="387"/>
      <c r="F10" s="387"/>
      <c r="G10" s="15">
        <v>129</v>
      </c>
      <c r="H10" s="16" t="s">
        <v>3014</v>
      </c>
      <c r="I10" s="67">
        <v>76645260</v>
      </c>
      <c r="J10" s="67">
        <v>89889406</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t="s">
        <v>3015</v>
      </c>
      <c r="I12" s="67">
        <v>18393</v>
      </c>
      <c r="J12" s="67">
        <v>26052</v>
      </c>
    </row>
    <row r="13" spans="1:10" s="2" customFormat="1" ht="14.25" customHeight="1">
      <c r="A13" s="387" t="s">
        <v>2922</v>
      </c>
      <c r="B13" s="387"/>
      <c r="C13" s="387"/>
      <c r="D13" s="387"/>
      <c r="E13" s="387"/>
      <c r="F13" s="387"/>
      <c r="G13" s="15">
        <v>132</v>
      </c>
      <c r="H13" s="16" t="s">
        <v>3015</v>
      </c>
      <c r="I13" s="67">
        <v>2026590</v>
      </c>
      <c r="J13" s="67">
        <v>1944942</v>
      </c>
    </row>
    <row r="14" spans="1:10" s="2" customFormat="1" ht="14.25" customHeight="1">
      <c r="A14" s="385" t="s">
        <v>2492</v>
      </c>
      <c r="B14" s="385"/>
      <c r="C14" s="385"/>
      <c r="D14" s="385"/>
      <c r="E14" s="385"/>
      <c r="F14" s="385"/>
      <c r="G14" s="15">
        <v>133</v>
      </c>
      <c r="H14" s="16" t="s">
        <v>3016</v>
      </c>
      <c r="I14" s="66">
        <f>I15+I16+I20+I24+I25+I26+I29+I36</f>
        <v>71824892</v>
      </c>
      <c r="J14" s="66">
        <f>J15+J16+J20+J24+J25+J26+J29+J36</f>
        <v>82073144</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t="s">
        <v>3017</v>
      </c>
      <c r="I16" s="66">
        <f>SUM(I17:I19)</f>
        <v>13096240</v>
      </c>
      <c r="J16" s="66">
        <f>SUM(J17:J19)</f>
        <v>15836723</v>
      </c>
    </row>
    <row r="17" spans="1:10" s="2" customFormat="1" ht="14.25" customHeight="1">
      <c r="A17" s="413" t="s">
        <v>1273</v>
      </c>
      <c r="B17" s="413"/>
      <c r="C17" s="413"/>
      <c r="D17" s="413"/>
      <c r="E17" s="413"/>
      <c r="F17" s="413"/>
      <c r="G17" s="15">
        <v>136</v>
      </c>
      <c r="H17" s="16"/>
      <c r="I17" s="67">
        <v>5425288</v>
      </c>
      <c r="J17" s="67">
        <v>8151553</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t="s">
        <v>3018</v>
      </c>
      <c r="I19" s="67">
        <v>7670952</v>
      </c>
      <c r="J19" s="67">
        <v>7685170</v>
      </c>
    </row>
    <row r="20" spans="1:10" s="2" customFormat="1" ht="14.25" customHeight="1">
      <c r="A20" s="387" t="s">
        <v>2494</v>
      </c>
      <c r="B20" s="387"/>
      <c r="C20" s="387"/>
      <c r="D20" s="387"/>
      <c r="E20" s="387"/>
      <c r="F20" s="387"/>
      <c r="G20" s="15">
        <v>139</v>
      </c>
      <c r="H20" s="16"/>
      <c r="I20" s="66">
        <f>SUM(I21:I23)</f>
        <v>35993761</v>
      </c>
      <c r="J20" s="66">
        <f>SUM(J21:J23)</f>
        <v>42531830</v>
      </c>
    </row>
    <row r="21" spans="1:10" s="2" customFormat="1" ht="14.25" customHeight="1">
      <c r="A21" s="413" t="s">
        <v>960</v>
      </c>
      <c r="B21" s="413"/>
      <c r="C21" s="413"/>
      <c r="D21" s="413"/>
      <c r="E21" s="413"/>
      <c r="F21" s="413"/>
      <c r="G21" s="15">
        <v>140</v>
      </c>
      <c r="H21" s="16"/>
      <c r="I21" s="67">
        <v>22644115</v>
      </c>
      <c r="J21" s="67">
        <v>26307632</v>
      </c>
    </row>
    <row r="22" spans="1:10" s="2" customFormat="1" ht="14.25" customHeight="1">
      <c r="A22" s="413" t="s">
        <v>1883</v>
      </c>
      <c r="B22" s="413"/>
      <c r="C22" s="413"/>
      <c r="D22" s="413"/>
      <c r="E22" s="413"/>
      <c r="F22" s="413"/>
      <c r="G22" s="15">
        <v>141</v>
      </c>
      <c r="H22" s="16"/>
      <c r="I22" s="67">
        <v>8133915</v>
      </c>
      <c r="J22" s="67">
        <v>10104406</v>
      </c>
    </row>
    <row r="23" spans="1:10" s="2" customFormat="1" ht="14.25" customHeight="1">
      <c r="A23" s="413" t="s">
        <v>1884</v>
      </c>
      <c r="B23" s="413"/>
      <c r="C23" s="413"/>
      <c r="D23" s="413"/>
      <c r="E23" s="413"/>
      <c r="F23" s="413"/>
      <c r="G23" s="15">
        <v>142</v>
      </c>
      <c r="H23" s="16"/>
      <c r="I23" s="67">
        <v>5215731</v>
      </c>
      <c r="J23" s="67">
        <v>6119792</v>
      </c>
    </row>
    <row r="24" spans="1:10" s="2" customFormat="1" ht="14.25" customHeight="1">
      <c r="A24" s="387" t="s">
        <v>1006</v>
      </c>
      <c r="B24" s="387"/>
      <c r="C24" s="387"/>
      <c r="D24" s="387"/>
      <c r="E24" s="387"/>
      <c r="F24" s="387"/>
      <c r="G24" s="15">
        <v>143</v>
      </c>
      <c r="H24" s="16" t="s">
        <v>2992</v>
      </c>
      <c r="I24" s="67">
        <v>9383928</v>
      </c>
      <c r="J24" s="67">
        <v>9516178</v>
      </c>
    </row>
    <row r="25" spans="1:10" s="2" customFormat="1" ht="14.25" customHeight="1">
      <c r="A25" s="387" t="s">
        <v>1007</v>
      </c>
      <c r="B25" s="387"/>
      <c r="C25" s="387"/>
      <c r="D25" s="387"/>
      <c r="E25" s="387"/>
      <c r="F25" s="387"/>
      <c r="G25" s="15">
        <v>144</v>
      </c>
      <c r="H25" s="16" t="s">
        <v>3019</v>
      </c>
      <c r="I25" s="67">
        <v>11909119</v>
      </c>
      <c r="J25" s="67">
        <v>13261473</v>
      </c>
    </row>
    <row r="26" spans="1:12" s="2" customFormat="1" ht="14.25" customHeight="1">
      <c r="A26" s="387" t="s">
        <v>2495</v>
      </c>
      <c r="B26" s="387"/>
      <c r="C26" s="387"/>
      <c r="D26" s="387"/>
      <c r="E26" s="387"/>
      <c r="F26" s="387"/>
      <c r="G26" s="15">
        <v>145</v>
      </c>
      <c r="H26" s="16"/>
      <c r="I26" s="66">
        <f>SUM(I27:I28)</f>
        <v>817122</v>
      </c>
      <c r="J26" s="66">
        <f>SUM(J27:J28)</f>
        <v>575881</v>
      </c>
      <c r="L26" s="2" t="s">
        <v>1209</v>
      </c>
    </row>
    <row r="27" spans="1:12" s="2" customFormat="1" ht="14.25" customHeight="1">
      <c r="A27" s="413" t="s">
        <v>1275</v>
      </c>
      <c r="B27" s="413"/>
      <c r="C27" s="413"/>
      <c r="D27" s="413"/>
      <c r="E27" s="413"/>
      <c r="F27" s="413"/>
      <c r="G27" s="15">
        <v>146</v>
      </c>
      <c r="H27" s="16"/>
      <c r="I27" s="67">
        <v>0</v>
      </c>
      <c r="J27" s="67">
        <v>0</v>
      </c>
      <c r="L27" s="2" t="s">
        <v>1209</v>
      </c>
    </row>
    <row r="28" spans="1:12" s="2" customFormat="1" ht="14.25" customHeight="1">
      <c r="A28" s="413" t="s">
        <v>1276</v>
      </c>
      <c r="B28" s="413"/>
      <c r="C28" s="413"/>
      <c r="D28" s="413"/>
      <c r="E28" s="413"/>
      <c r="F28" s="413"/>
      <c r="G28" s="15">
        <v>147</v>
      </c>
      <c r="H28" s="16"/>
      <c r="I28" s="67">
        <v>817122</v>
      </c>
      <c r="J28" s="67">
        <v>575881</v>
      </c>
      <c r="L28" s="2" t="s">
        <v>1209</v>
      </c>
    </row>
    <row r="29" spans="1:12" s="2" customFormat="1" ht="14.25" customHeight="1">
      <c r="A29" s="387" t="s">
        <v>2496</v>
      </c>
      <c r="B29" s="387"/>
      <c r="C29" s="387"/>
      <c r="D29" s="387"/>
      <c r="E29" s="387"/>
      <c r="F29" s="387"/>
      <c r="G29" s="15">
        <v>148</v>
      </c>
      <c r="H29" s="16"/>
      <c r="I29" s="66">
        <f>SUM(I30:I35)</f>
        <v>0</v>
      </c>
      <c r="J29" s="66">
        <f>SUM(J30:J35)</f>
        <v>108000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v>108000</v>
      </c>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v>624722</v>
      </c>
      <c r="J36" s="67">
        <v>243059</v>
      </c>
    </row>
    <row r="37" spans="1:10" s="2" customFormat="1" ht="14.25" customHeight="1">
      <c r="A37" s="385" t="s">
        <v>2497</v>
      </c>
      <c r="B37" s="385"/>
      <c r="C37" s="385"/>
      <c r="D37" s="385"/>
      <c r="E37" s="385"/>
      <c r="F37" s="385"/>
      <c r="G37" s="15">
        <v>156</v>
      </c>
      <c r="H37" s="16" t="s">
        <v>3020</v>
      </c>
      <c r="I37" s="66">
        <f>SUM(I38:I47)</f>
        <v>154562</v>
      </c>
      <c r="J37" s="66">
        <f>SUM(J38:J47)</f>
        <v>212495</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v>39144</v>
      </c>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v>315</v>
      </c>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22630</v>
      </c>
      <c r="J44" s="67">
        <v>11315</v>
      </c>
    </row>
    <row r="45" spans="1:10" s="2" customFormat="1" ht="14.25" customHeight="1">
      <c r="A45" s="387" t="s">
        <v>2961</v>
      </c>
      <c r="B45" s="387"/>
      <c r="C45" s="387"/>
      <c r="D45" s="387"/>
      <c r="E45" s="387"/>
      <c r="F45" s="387"/>
      <c r="G45" s="15">
        <v>164</v>
      </c>
      <c r="H45" s="16"/>
      <c r="I45" s="67">
        <v>131617</v>
      </c>
      <c r="J45" s="67">
        <v>162036</v>
      </c>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t="s">
        <v>3021</v>
      </c>
      <c r="I48" s="66">
        <f>SUM(I49:I55)</f>
        <v>239960</v>
      </c>
      <c r="J48" s="66">
        <f>SUM(J49:J55)</f>
        <v>219682</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71036</v>
      </c>
      <c r="J51" s="67">
        <v>136171</v>
      </c>
    </row>
    <row r="52" spans="1:10" s="2" customFormat="1" ht="14.25" customHeight="1">
      <c r="A52" s="408" t="s">
        <v>1090</v>
      </c>
      <c r="B52" s="408"/>
      <c r="C52" s="408"/>
      <c r="D52" s="408"/>
      <c r="E52" s="408"/>
      <c r="F52" s="408"/>
      <c r="G52" s="15">
        <v>171</v>
      </c>
      <c r="H52" s="16"/>
      <c r="I52" s="67">
        <v>168924</v>
      </c>
      <c r="J52" s="67">
        <v>83511</v>
      </c>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v>0</v>
      </c>
      <c r="J55" s="67">
        <v>0</v>
      </c>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78874805</v>
      </c>
      <c r="J60" s="66">
        <f>J8+J37+J56+J57</f>
        <v>92102895</v>
      </c>
    </row>
    <row r="61" spans="1:10" s="2" customFormat="1" ht="14.25" customHeight="1">
      <c r="A61" s="385" t="s">
        <v>2500</v>
      </c>
      <c r="B61" s="385"/>
      <c r="C61" s="385"/>
      <c r="D61" s="385"/>
      <c r="E61" s="385"/>
      <c r="F61" s="385"/>
      <c r="G61" s="15">
        <v>180</v>
      </c>
      <c r="H61" s="16"/>
      <c r="I61" s="66">
        <f>I14+I48+I58+I59</f>
        <v>72064852</v>
      </c>
      <c r="J61" s="66">
        <f>J14+J48+J58+J59</f>
        <v>82292826</v>
      </c>
    </row>
    <row r="62" spans="1:12" s="2" customFormat="1" ht="14.25" customHeight="1">
      <c r="A62" s="385" t="s">
        <v>2501</v>
      </c>
      <c r="B62" s="385"/>
      <c r="C62" s="385"/>
      <c r="D62" s="385"/>
      <c r="E62" s="385"/>
      <c r="F62" s="385"/>
      <c r="G62" s="15">
        <v>181</v>
      </c>
      <c r="H62" s="16"/>
      <c r="I62" s="66">
        <f>I60-I61</f>
        <v>6809953</v>
      </c>
      <c r="J62" s="66">
        <f>J60-J61</f>
        <v>9810069</v>
      </c>
      <c r="L62" s="2" t="s">
        <v>1209</v>
      </c>
    </row>
    <row r="63" spans="1:10" s="2" customFormat="1" ht="14.25" customHeight="1">
      <c r="A63" s="408" t="s">
        <v>2502</v>
      </c>
      <c r="B63" s="408"/>
      <c r="C63" s="408"/>
      <c r="D63" s="408"/>
      <c r="E63" s="408"/>
      <c r="F63" s="408"/>
      <c r="G63" s="15">
        <v>182</v>
      </c>
      <c r="H63" s="16" t="s">
        <v>1730</v>
      </c>
      <c r="I63" s="66">
        <f>IF(I60&gt;I61,I60-I61,0)</f>
        <v>6809953</v>
      </c>
      <c r="J63" s="66">
        <f>IF(J60&gt;J61,J60-J61,0)</f>
        <v>9810069</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t="s">
        <v>1730</v>
      </c>
      <c r="I65" s="67">
        <v>468292</v>
      </c>
      <c r="J65" s="67">
        <v>1802492</v>
      </c>
      <c r="L65" s="2" t="s">
        <v>1209</v>
      </c>
    </row>
    <row r="66" spans="1:12" s="2" customFormat="1" ht="14.25" customHeight="1">
      <c r="A66" s="385" t="s">
        <v>2504</v>
      </c>
      <c r="B66" s="385"/>
      <c r="C66" s="385"/>
      <c r="D66" s="385"/>
      <c r="E66" s="385"/>
      <c r="F66" s="385"/>
      <c r="G66" s="15">
        <v>185</v>
      </c>
      <c r="H66" s="16" t="s">
        <v>1730</v>
      </c>
      <c r="I66" s="66">
        <f>I62-I65</f>
        <v>6341661</v>
      </c>
      <c r="J66" s="66">
        <f>J62-J65</f>
        <v>8007577</v>
      </c>
      <c r="L66" s="2" t="s">
        <v>1209</v>
      </c>
    </row>
    <row r="67" spans="1:10" s="2" customFormat="1" ht="14.25" customHeight="1">
      <c r="A67" s="408" t="s">
        <v>2505</v>
      </c>
      <c r="B67" s="408"/>
      <c r="C67" s="408"/>
      <c r="D67" s="408"/>
      <c r="E67" s="408"/>
      <c r="F67" s="408"/>
      <c r="G67" s="15">
        <v>186</v>
      </c>
      <c r="H67" s="16" t="s">
        <v>1730</v>
      </c>
      <c r="I67" s="66">
        <f>IF(I66&gt;0,I66,0)</f>
        <v>6341661</v>
      </c>
      <c r="J67" s="66">
        <f>IF(J66&gt;0,J66,0)</f>
        <v>8007577</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2" t="s">
        <v>2710</v>
      </c>
      <c r="B87" s="422"/>
      <c r="C87" s="422"/>
      <c r="D87" s="422"/>
      <c r="E87" s="422"/>
      <c r="F87" s="422"/>
      <c r="G87" s="17">
        <v>203</v>
      </c>
      <c r="H87" s="18"/>
      <c r="I87" s="74"/>
      <c r="J87" s="74"/>
      <c r="L87" s="2" t="s">
        <v>1209</v>
      </c>
    </row>
    <row r="88" spans="1:10" s="2" customFormat="1" ht="14.25" customHeight="1">
      <c r="A88" s="423" t="s">
        <v>1506</v>
      </c>
      <c r="B88" s="423"/>
      <c r="C88" s="423"/>
      <c r="D88" s="423"/>
      <c r="E88" s="423"/>
      <c r="F88" s="423"/>
      <c r="G88" s="424"/>
      <c r="H88" s="424"/>
      <c r="I88" s="424"/>
      <c r="J88" s="424"/>
    </row>
    <row r="89" spans="1:12" s="2" customFormat="1" ht="14.25" customHeight="1">
      <c r="A89" s="411" t="s">
        <v>2518</v>
      </c>
      <c r="B89" s="411"/>
      <c r="C89" s="411"/>
      <c r="D89" s="411"/>
      <c r="E89" s="411"/>
      <c r="F89" s="411"/>
      <c r="G89" s="15">
        <v>204</v>
      </c>
      <c r="H89" s="16" t="s">
        <v>1730</v>
      </c>
      <c r="I89" s="73">
        <v>6341661</v>
      </c>
      <c r="J89" s="73">
        <v>8007577</v>
      </c>
      <c r="L89" s="2" t="s">
        <v>1209</v>
      </c>
    </row>
    <row r="90" spans="1:12" s="2" customFormat="1" ht="25.5" customHeight="1">
      <c r="A90" s="411" t="s">
        <v>359</v>
      </c>
      <c r="B90" s="411"/>
      <c r="C90" s="411"/>
      <c r="D90" s="411"/>
      <c r="E90" s="411"/>
      <c r="F90" s="411"/>
      <c r="G90" s="15">
        <v>205</v>
      </c>
      <c r="H90" s="16"/>
      <c r="I90" s="82">
        <f>SUM(I92:I96)+SUM(I99:I106)</f>
        <v>88426</v>
      </c>
      <c r="J90" s="82">
        <f>SUM(J92:J96)+SUM(J99:J106)</f>
        <v>153366</v>
      </c>
      <c r="L90" s="2" t="s">
        <v>1209</v>
      </c>
    </row>
    <row r="91" spans="1:12" s="2" customFormat="1" ht="14.25" customHeight="1">
      <c r="A91" s="411" t="s">
        <v>1609</v>
      </c>
      <c r="B91" s="411"/>
      <c r="C91" s="411"/>
      <c r="D91" s="411"/>
      <c r="E91" s="411"/>
      <c r="F91" s="411"/>
      <c r="G91" s="15">
        <v>206</v>
      </c>
      <c r="H91" s="16" t="s">
        <v>3022</v>
      </c>
      <c r="I91" s="82">
        <f>SUM(I92:I97)</f>
        <v>88426</v>
      </c>
      <c r="J91" s="82">
        <f>SUM(J92:J97)</f>
        <v>153366</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v>88426</v>
      </c>
      <c r="J93" s="73">
        <v>-8356</v>
      </c>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v>161722</v>
      </c>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t="s">
        <v>3022</v>
      </c>
      <c r="I98" s="82">
        <f>SUM(I99:I107)</f>
        <v>15917</v>
      </c>
      <c r="J98" s="82">
        <f>SUM(J99:J107)</f>
        <v>29110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t="s">
        <v>3022</v>
      </c>
      <c r="I107" s="73">
        <v>15917</v>
      </c>
      <c r="J107" s="73">
        <v>29110</v>
      </c>
      <c r="L107" s="2" t="s">
        <v>1209</v>
      </c>
    </row>
    <row r="108" spans="1:12" s="2" customFormat="1" ht="14.25" customHeight="1">
      <c r="A108" s="411" t="s">
        <v>356</v>
      </c>
      <c r="B108" s="411"/>
      <c r="C108" s="411"/>
      <c r="D108" s="411"/>
      <c r="E108" s="411"/>
      <c r="F108" s="411"/>
      <c r="G108" s="15">
        <v>223</v>
      </c>
      <c r="H108" s="16" t="s">
        <v>3022</v>
      </c>
      <c r="I108" s="82">
        <f>I91+I98</f>
        <v>104343</v>
      </c>
      <c r="J108" s="82">
        <f>J91+J98</f>
        <v>182476</v>
      </c>
      <c r="L108" s="2" t="s">
        <v>1209</v>
      </c>
    </row>
    <row r="109" spans="1:12" s="2" customFormat="1" ht="14.25" customHeight="1">
      <c r="A109" s="425" t="s">
        <v>358</v>
      </c>
      <c r="B109" s="425"/>
      <c r="C109" s="425"/>
      <c r="D109" s="425"/>
      <c r="E109" s="425"/>
      <c r="F109" s="425"/>
      <c r="G109" s="17">
        <v>224</v>
      </c>
      <c r="H109" s="18" t="s">
        <v>3022</v>
      </c>
      <c r="I109" s="83">
        <f>I89+I108</f>
        <v>6446004</v>
      </c>
      <c r="J109" s="83">
        <f>J89+J108</f>
        <v>8190053</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2" t="s">
        <v>1099</v>
      </c>
      <c r="B113" s="422"/>
      <c r="C113" s="422"/>
      <c r="D113" s="422"/>
      <c r="E113" s="422"/>
      <c r="F113" s="422"/>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102:F102"/>
    <mergeCell ref="A87:F87"/>
    <mergeCell ref="A50:F50"/>
    <mergeCell ref="A51:F51"/>
    <mergeCell ref="A57:F57"/>
    <mergeCell ref="A56:F56"/>
    <mergeCell ref="A61:F61"/>
    <mergeCell ref="A88:J88"/>
    <mergeCell ref="A71:F71"/>
    <mergeCell ref="A55:F55"/>
    <mergeCell ref="A48:F48"/>
    <mergeCell ref="A46:F46"/>
    <mergeCell ref="A47:F47"/>
    <mergeCell ref="A49:F49"/>
    <mergeCell ref="A38:F38"/>
    <mergeCell ref="A35:F35"/>
    <mergeCell ref="A45:F45"/>
    <mergeCell ref="A43:F43"/>
    <mergeCell ref="A44:F44"/>
    <mergeCell ref="A37:F37"/>
    <mergeCell ref="A41:F41"/>
    <mergeCell ref="A28:F28"/>
    <mergeCell ref="A30:F30"/>
    <mergeCell ref="A33:F33"/>
    <mergeCell ref="A42:F42"/>
    <mergeCell ref="A32:F32"/>
    <mergeCell ref="A5:J5"/>
    <mergeCell ref="A6:F6"/>
    <mergeCell ref="A2:I2"/>
    <mergeCell ref="A3:I3"/>
    <mergeCell ref="J2:J3"/>
    <mergeCell ref="A31:F31"/>
    <mergeCell ref="A16:F16"/>
    <mergeCell ref="A23:F23"/>
    <mergeCell ref="A24:F24"/>
    <mergeCell ref="A15:F15"/>
    <mergeCell ref="A18:F18"/>
    <mergeCell ref="A19:F19"/>
    <mergeCell ref="A26:F26"/>
    <mergeCell ref="A27:F27"/>
    <mergeCell ref="A29:F29"/>
    <mergeCell ref="A36:F36"/>
    <mergeCell ref="A34:F34"/>
    <mergeCell ref="A25:F2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62:J62 I70:J70 I73:J73 I77:J77 I80:J81 I85:J87 I26:J35 I54:J54 I65:J66 I89:J109">
    <cfRule type="cellIs" priority="1" dxfId="2" operator="notEqual" stopIfTrue="1">
      <formula>ROUND(I15,0)</formula>
    </cfRule>
  </conditionalFormatting>
  <conditionalFormatting sqref="I78:J79 I67:J68 I74:J75 I82:J83 I63:J64 I71:J72 I8:J14 I16:J25 I36:J53 I55:J61">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I23" sqref="I23:J23"/>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36" t="s">
        <v>821</v>
      </c>
      <c r="B2" s="437"/>
      <c r="C2" s="437"/>
      <c r="D2" s="437"/>
      <c r="E2" s="437"/>
      <c r="F2" s="437"/>
      <c r="G2" s="437"/>
      <c r="H2" s="437"/>
      <c r="I2" s="438"/>
      <c r="J2" s="392" t="s">
        <v>1211</v>
      </c>
      <c r="Q2" s="70">
        <f>IF(MAX(I9:I88)&gt;0,1,0)</f>
        <v>0</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0</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14480721492; Plovput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c r="J37" s="90"/>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c r="J50" s="73"/>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14480721492; Plovput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7" activePane="bottomLeft" state="frozen"/>
      <selection pane="topLeft" activeCell="A1" sqref="A1"/>
      <selection pane="bottomLeft" activeCell="J16" sqref="J16"/>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1</v>
      </c>
      <c r="R1" s="69" t="s">
        <v>792</v>
      </c>
    </row>
    <row r="2" spans="1:18" s="2" customFormat="1" ht="19.5" customHeight="1">
      <c r="A2" s="436" t="s">
        <v>1103</v>
      </c>
      <c r="B2" s="437"/>
      <c r="C2" s="437"/>
      <c r="D2" s="437"/>
      <c r="E2" s="437"/>
      <c r="F2" s="437"/>
      <c r="G2" s="437"/>
      <c r="H2" s="437"/>
      <c r="I2" s="438"/>
      <c r="J2" s="392" t="s">
        <v>1213</v>
      </c>
      <c r="Q2" s="70">
        <f>IF(OR(MIN(I8:I54)&lt;0,MAX(I8:I54)&gt;0),1,0)</f>
        <v>1</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1</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14480721492; Plovput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v>77329893</v>
      </c>
      <c r="J9" s="90">
        <v>93558278</v>
      </c>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v>589347</v>
      </c>
      <c r="J11" s="73">
        <v>302270</v>
      </c>
      <c r="L11" s="2" t="s">
        <v>2525</v>
      </c>
    </row>
    <row r="12" spans="1:12" s="2" customFormat="1" ht="13.5" customHeight="1">
      <c r="A12" s="387" t="s">
        <v>1710</v>
      </c>
      <c r="B12" s="387"/>
      <c r="C12" s="387"/>
      <c r="D12" s="387"/>
      <c r="E12" s="387"/>
      <c r="F12" s="387"/>
      <c r="G12" s="15">
        <v>4</v>
      </c>
      <c r="H12" s="19"/>
      <c r="I12" s="73">
        <v>1604930</v>
      </c>
      <c r="J12" s="73">
        <v>2760000</v>
      </c>
      <c r="L12" s="2" t="s">
        <v>2525</v>
      </c>
    </row>
    <row r="13" spans="1:12" s="2" customFormat="1" ht="13.5" customHeight="1">
      <c r="A13" s="387" t="s">
        <v>1711</v>
      </c>
      <c r="B13" s="387"/>
      <c r="C13" s="387"/>
      <c r="D13" s="387"/>
      <c r="E13" s="387"/>
      <c r="F13" s="387"/>
      <c r="G13" s="15">
        <v>5</v>
      </c>
      <c r="H13" s="19"/>
      <c r="I13" s="73">
        <v>3426239</v>
      </c>
      <c r="J13" s="73">
        <v>1098142</v>
      </c>
      <c r="L13" s="2" t="s">
        <v>2525</v>
      </c>
    </row>
    <row r="14" spans="1:12" s="2" customFormat="1" ht="13.5" customHeight="1">
      <c r="A14" s="411" t="s">
        <v>1712</v>
      </c>
      <c r="B14" s="387"/>
      <c r="C14" s="387"/>
      <c r="D14" s="387"/>
      <c r="E14" s="387"/>
      <c r="F14" s="387"/>
      <c r="G14" s="15">
        <v>6</v>
      </c>
      <c r="H14" s="19"/>
      <c r="I14" s="82">
        <f>SUM(I9:I13)</f>
        <v>82950409</v>
      </c>
      <c r="J14" s="82">
        <f>SUM(J9:J13)</f>
        <v>97718690</v>
      </c>
      <c r="L14" s="2" t="s">
        <v>2525</v>
      </c>
    </row>
    <row r="15" spans="1:12" s="2" customFormat="1" ht="13.5" customHeight="1">
      <c r="A15" s="387" t="s">
        <v>1713</v>
      </c>
      <c r="B15" s="387"/>
      <c r="C15" s="387"/>
      <c r="D15" s="387"/>
      <c r="E15" s="387"/>
      <c r="F15" s="387"/>
      <c r="G15" s="15">
        <v>7</v>
      </c>
      <c r="H15" s="19"/>
      <c r="I15" s="73">
        <v>-24041225</v>
      </c>
      <c r="J15" s="73">
        <v>-25361608</v>
      </c>
      <c r="L15" s="2" t="s">
        <v>1209</v>
      </c>
    </row>
    <row r="16" spans="1:12" s="2" customFormat="1" ht="13.5" customHeight="1">
      <c r="A16" s="387" t="s">
        <v>1714</v>
      </c>
      <c r="B16" s="387"/>
      <c r="C16" s="387"/>
      <c r="D16" s="387"/>
      <c r="E16" s="387"/>
      <c r="F16" s="387"/>
      <c r="G16" s="15">
        <v>8</v>
      </c>
      <c r="H16" s="19"/>
      <c r="I16" s="73">
        <v>-45121517</v>
      </c>
      <c r="J16" s="73">
        <v>-50207024</v>
      </c>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v>-21</v>
      </c>
      <c r="J18" s="73">
        <v>-135757</v>
      </c>
      <c r="L18" s="2" t="s">
        <v>1209</v>
      </c>
    </row>
    <row r="19" spans="1:12" s="2" customFormat="1" ht="13.5" customHeight="1">
      <c r="A19" s="387" t="s">
        <v>1717</v>
      </c>
      <c r="B19" s="387"/>
      <c r="C19" s="387"/>
      <c r="D19" s="387"/>
      <c r="E19" s="387"/>
      <c r="F19" s="387"/>
      <c r="G19" s="15">
        <v>11</v>
      </c>
      <c r="H19" s="19"/>
      <c r="I19" s="73"/>
      <c r="J19" s="73">
        <v>-841428</v>
      </c>
      <c r="L19" s="2" t="s">
        <v>1209</v>
      </c>
    </row>
    <row r="20" spans="1:12" s="2" customFormat="1" ht="13.5" customHeight="1">
      <c r="A20" s="387" t="s">
        <v>1706</v>
      </c>
      <c r="B20" s="387"/>
      <c r="C20" s="387"/>
      <c r="D20" s="387"/>
      <c r="E20" s="387"/>
      <c r="F20" s="387"/>
      <c r="G20" s="15">
        <v>12</v>
      </c>
      <c r="H20" s="19"/>
      <c r="I20" s="73">
        <v>-3945676</v>
      </c>
      <c r="J20" s="73">
        <v>-4914016</v>
      </c>
      <c r="L20" s="2" t="s">
        <v>1209</v>
      </c>
    </row>
    <row r="21" spans="1:12" s="2" customFormat="1" ht="13.5" customHeight="1">
      <c r="A21" s="411" t="s">
        <v>1718</v>
      </c>
      <c r="B21" s="411"/>
      <c r="C21" s="411"/>
      <c r="D21" s="411"/>
      <c r="E21" s="411"/>
      <c r="F21" s="411"/>
      <c r="G21" s="15">
        <v>13</v>
      </c>
      <c r="H21" s="19"/>
      <c r="I21" s="82">
        <f>SUM(I15:I20)</f>
        <v>-73108439</v>
      </c>
      <c r="J21" s="82">
        <f>SUM(J15:J20)</f>
        <v>-81459833</v>
      </c>
      <c r="L21" s="2" t="s">
        <v>1209</v>
      </c>
    </row>
    <row r="22" spans="1:10" s="2" customFormat="1" ht="15" customHeight="1">
      <c r="A22" s="453" t="s">
        <v>920</v>
      </c>
      <c r="B22" s="453"/>
      <c r="C22" s="453"/>
      <c r="D22" s="453"/>
      <c r="E22" s="453"/>
      <c r="F22" s="453"/>
      <c r="G22" s="17">
        <v>14</v>
      </c>
      <c r="H22" s="20"/>
      <c r="I22" s="83">
        <f>I14+I21</f>
        <v>9841970</v>
      </c>
      <c r="J22" s="83">
        <f>J14+J21</f>
        <v>16258857</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v>50700</v>
      </c>
      <c r="J24" s="90">
        <v>17550</v>
      </c>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v>21636</v>
      </c>
      <c r="J26" s="73">
        <v>7269</v>
      </c>
      <c r="L26" s="2" t="s">
        <v>2525</v>
      </c>
    </row>
    <row r="27" spans="1:12" s="2" customFormat="1" ht="13.5" customHeight="1">
      <c r="A27" s="408" t="s">
        <v>1786</v>
      </c>
      <c r="B27" s="408"/>
      <c r="C27" s="408"/>
      <c r="D27" s="408"/>
      <c r="E27" s="408"/>
      <c r="F27" s="408"/>
      <c r="G27" s="15">
        <v>18</v>
      </c>
      <c r="H27" s="19"/>
      <c r="I27" s="73"/>
      <c r="J27" s="73">
        <v>39144</v>
      </c>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v>111170</v>
      </c>
      <c r="J29" s="73">
        <v>2540622</v>
      </c>
      <c r="L29" s="2" t="s">
        <v>2525</v>
      </c>
    </row>
    <row r="30" spans="1:12" s="2" customFormat="1" ht="15" customHeight="1">
      <c r="A30" s="411" t="s">
        <v>1719</v>
      </c>
      <c r="B30" s="411"/>
      <c r="C30" s="411"/>
      <c r="D30" s="411"/>
      <c r="E30" s="411"/>
      <c r="F30" s="411"/>
      <c r="G30" s="15">
        <v>21</v>
      </c>
      <c r="H30" s="19"/>
      <c r="I30" s="82">
        <f>SUM(I24:I29)</f>
        <v>183506</v>
      </c>
      <c r="J30" s="82">
        <f>SUM(J24:J29)</f>
        <v>2604585</v>
      </c>
      <c r="L30" s="2" t="s">
        <v>2525</v>
      </c>
    </row>
    <row r="31" spans="1:12" s="2" customFormat="1" ht="15" customHeight="1">
      <c r="A31" s="408" t="s">
        <v>2088</v>
      </c>
      <c r="B31" s="408"/>
      <c r="C31" s="408"/>
      <c r="D31" s="408"/>
      <c r="E31" s="408"/>
      <c r="F31" s="408"/>
      <c r="G31" s="15">
        <v>22</v>
      </c>
      <c r="H31" s="19"/>
      <c r="I31" s="73">
        <v>-3109969</v>
      </c>
      <c r="J31" s="73">
        <v>-11484497</v>
      </c>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v>-287100</v>
      </c>
      <c r="J35" s="73"/>
      <c r="L35" s="2" t="s">
        <v>1209</v>
      </c>
    </row>
    <row r="36" spans="1:12" s="2" customFormat="1" ht="15" customHeight="1">
      <c r="A36" s="411" t="s">
        <v>1720</v>
      </c>
      <c r="B36" s="411"/>
      <c r="C36" s="411"/>
      <c r="D36" s="411"/>
      <c r="E36" s="411"/>
      <c r="F36" s="411"/>
      <c r="G36" s="15">
        <v>27</v>
      </c>
      <c r="H36" s="19"/>
      <c r="I36" s="82">
        <f>SUM(I31:I35)</f>
        <v>-3397069</v>
      </c>
      <c r="J36" s="82">
        <f>SUM(J31:J35)</f>
        <v>-11484497</v>
      </c>
      <c r="L36" s="2" t="s">
        <v>1209</v>
      </c>
    </row>
    <row r="37" spans="1:10" s="2" customFormat="1" ht="15" customHeight="1">
      <c r="A37" s="453" t="s">
        <v>1721</v>
      </c>
      <c r="B37" s="453"/>
      <c r="C37" s="453"/>
      <c r="D37" s="453"/>
      <c r="E37" s="453"/>
      <c r="F37" s="453"/>
      <c r="G37" s="17">
        <v>28</v>
      </c>
      <c r="H37" s="20"/>
      <c r="I37" s="83">
        <f>I30+I36</f>
        <v>-3213563</v>
      </c>
      <c r="J37" s="83">
        <f>J30+J36</f>
        <v>-8879912</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v>-3804997</v>
      </c>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v>-1188</v>
      </c>
      <c r="J48" s="73"/>
      <c r="L48" s="2" t="s">
        <v>1209</v>
      </c>
    </row>
    <row r="49" spans="1:12" s="2" customFormat="1" ht="15" customHeight="1">
      <c r="A49" s="411" t="s">
        <v>1723</v>
      </c>
      <c r="B49" s="411"/>
      <c r="C49" s="411"/>
      <c r="D49" s="411"/>
      <c r="E49" s="411"/>
      <c r="F49" s="411"/>
      <c r="G49" s="15">
        <v>39</v>
      </c>
      <c r="H49" s="19"/>
      <c r="I49" s="82">
        <f>SUM(I44:I48)</f>
        <v>-1188</v>
      </c>
      <c r="J49" s="82">
        <f>SUM(J44:J48)</f>
        <v>-3804997</v>
      </c>
      <c r="L49" s="2" t="s">
        <v>1209</v>
      </c>
    </row>
    <row r="50" spans="1:10" s="2" customFormat="1" ht="15" customHeight="1">
      <c r="A50" s="409" t="s">
        <v>1724</v>
      </c>
      <c r="B50" s="409"/>
      <c r="C50" s="409"/>
      <c r="D50" s="409"/>
      <c r="E50" s="409"/>
      <c r="F50" s="409"/>
      <c r="G50" s="15">
        <v>40</v>
      </c>
      <c r="H50" s="19"/>
      <c r="I50" s="82">
        <f>I43+I49</f>
        <v>-1188</v>
      </c>
      <c r="J50" s="82">
        <f>J43+J49</f>
        <v>-3804997</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6627219</v>
      </c>
      <c r="J52" s="82">
        <f>J22+J37+J50+J51</f>
        <v>3573948</v>
      </c>
    </row>
    <row r="53" spans="1:12" s="2" customFormat="1" ht="13.5" customHeight="1">
      <c r="A53" s="409" t="s">
        <v>2810</v>
      </c>
      <c r="B53" s="409"/>
      <c r="C53" s="409"/>
      <c r="D53" s="409"/>
      <c r="E53" s="409"/>
      <c r="F53" s="409"/>
      <c r="G53" s="15">
        <v>43</v>
      </c>
      <c r="H53" s="19"/>
      <c r="I53" s="73">
        <v>18702391</v>
      </c>
      <c r="J53" s="73">
        <v>25329610</v>
      </c>
      <c r="L53" s="2" t="s">
        <v>2525</v>
      </c>
    </row>
    <row r="54" spans="1:12" s="2" customFormat="1" ht="13.5" customHeight="1">
      <c r="A54" s="453" t="s">
        <v>1726</v>
      </c>
      <c r="B54" s="453"/>
      <c r="C54" s="453"/>
      <c r="D54" s="453"/>
      <c r="E54" s="453"/>
      <c r="F54" s="453"/>
      <c r="G54" s="17">
        <v>44</v>
      </c>
      <c r="H54" s="20"/>
      <c r="I54" s="83">
        <f>I52+I53</f>
        <v>25329610</v>
      </c>
      <c r="J54" s="83">
        <f>J52+J53</f>
        <v>28903558</v>
      </c>
      <c r="L54" s="2" t="s">
        <v>2525</v>
      </c>
    </row>
    <row r="55" ht="4.5" customHeight="1"/>
  </sheetData>
  <sheetProtection password="C79A" sheet="1" objects="1" scenarios="1"/>
  <mergeCells count="53">
    <mergeCell ref="A54:F54"/>
    <mergeCell ref="A53:F53"/>
    <mergeCell ref="A50:F50"/>
    <mergeCell ref="A48:F48"/>
    <mergeCell ref="A51:F51"/>
    <mergeCell ref="A52:F52"/>
    <mergeCell ref="A49:F4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37:F37"/>
    <mergeCell ref="A39:F39"/>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7:J37 I14:J14 I20:J22 I34:J34">
    <cfRule type="cellIs" priority="1" dxfId="2" operator="notEqual" stopIfTrue="1">
      <formula>ROUND(I14,0)</formula>
    </cfRule>
  </conditionalFormatting>
  <conditionalFormatting sqref="I15:J19 I31:J33 I35:J36 I44:J49">
    <cfRule type="cellIs" priority="2" dxfId="2" operator="notEqual" stopIfTrue="1">
      <formula>ROUND(I15,0)</formula>
    </cfRule>
    <cfRule type="cellIs" priority="3" dxfId="5" operator="greaterThan" stopIfTrue="1">
      <formula>0</formula>
    </cfRule>
  </conditionalFormatting>
  <conditionalFormatting sqref="I39:J43 I9:J13 I24:J30 I53:J54">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AG66"/>
  <sheetViews>
    <sheetView showGridLines="0" showRowColHeaders="0" view="pageBreakPreview" zoomScale="106" zoomScaleSheetLayoutView="106" zoomScalePageLayoutView="0" workbookViewId="0" topLeftCell="M1">
      <pane ySplit="1" topLeftCell="A44" activePane="bottomLeft" state="frozen"/>
      <selection pane="topLeft" activeCell="A1" sqref="A1"/>
      <selection pane="bottomLeft" activeCell="W49" sqref="W49"/>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1</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1</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1</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14480721492; Plovput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1</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v>111546200</v>
      </c>
      <c r="J10" s="21"/>
      <c r="K10" s="21"/>
      <c r="L10" s="21"/>
      <c r="M10" s="21"/>
      <c r="N10" s="21"/>
      <c r="O10" s="21"/>
      <c r="P10" s="21">
        <v>0</v>
      </c>
      <c r="Q10" s="21">
        <v>407814</v>
      </c>
      <c r="R10" s="21"/>
      <c r="S10" s="21"/>
      <c r="T10" s="21"/>
      <c r="U10" s="21"/>
      <c r="V10" s="21">
        <v>21682089</v>
      </c>
      <c r="W10" s="21">
        <v>0</v>
      </c>
      <c r="X10" s="202">
        <f>SUM(I10:L10)-M10+SUM(N10:W10)</f>
        <v>133636103</v>
      </c>
      <c r="Y10" s="21"/>
      <c r="Z10" s="202">
        <f>Y10+X10</f>
        <v>133636103</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111546200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407814</v>
      </c>
      <c r="R13" s="202">
        <f t="shared" si="2"/>
        <v>0</v>
      </c>
      <c r="S13" s="202">
        <f t="shared" si="2"/>
        <v>0</v>
      </c>
      <c r="T13" s="202">
        <f>SUM(T10:T12)</f>
        <v>0</v>
      </c>
      <c r="U13" s="202">
        <f>SUM(U10:U12)</f>
        <v>0</v>
      </c>
      <c r="V13" s="202">
        <f t="shared" si="2"/>
        <v>21682089</v>
      </c>
      <c r="W13" s="202">
        <f t="shared" si="2"/>
        <v>0</v>
      </c>
      <c r="X13" s="202">
        <f t="shared" si="0"/>
        <v>133636103</v>
      </c>
      <c r="Y13" s="202">
        <f>SUM(Y10:Y12)</f>
        <v>0</v>
      </c>
      <c r="Z13" s="202">
        <f t="shared" si="1"/>
        <v>133636103</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v>6341662</v>
      </c>
      <c r="X14" s="202">
        <f t="shared" si="0"/>
        <v>6341662</v>
      </c>
      <c r="Y14" s="21"/>
      <c r="Z14" s="202">
        <f t="shared" si="1"/>
        <v>6341662</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v>88425</v>
      </c>
      <c r="R17" s="212"/>
      <c r="S17" s="212"/>
      <c r="T17" s="212"/>
      <c r="U17" s="212"/>
      <c r="V17" s="21"/>
      <c r="W17" s="21"/>
      <c r="X17" s="202">
        <f t="shared" si="0"/>
        <v>88425</v>
      </c>
      <c r="Y17" s="21"/>
      <c r="Z17" s="202">
        <f t="shared" si="1"/>
        <v>88425</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v>-1846095</v>
      </c>
      <c r="W31" s="21">
        <v>0</v>
      </c>
      <c r="X31" s="202">
        <f t="shared" si="0"/>
        <v>-1846095</v>
      </c>
      <c r="Y31" s="21"/>
      <c r="Z31" s="202">
        <f t="shared" si="1"/>
        <v>-1846095</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111546200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496239</v>
      </c>
      <c r="R33" s="201">
        <f t="shared" si="3"/>
        <v>0</v>
      </c>
      <c r="S33" s="201">
        <f t="shared" si="3"/>
        <v>0</v>
      </c>
      <c r="T33" s="201">
        <f>SUM(T13:T32)</f>
        <v>0</v>
      </c>
      <c r="U33" s="201">
        <f>SUM(U13:U32)</f>
        <v>0</v>
      </c>
      <c r="V33" s="201">
        <f t="shared" si="3"/>
        <v>19835994</v>
      </c>
      <c r="W33" s="201">
        <f t="shared" si="3"/>
        <v>6341662</v>
      </c>
      <c r="X33" s="201">
        <f t="shared" si="0"/>
        <v>138220095</v>
      </c>
      <c r="Y33" s="201">
        <f>SUM(Y13:Y32)</f>
        <v>0</v>
      </c>
      <c r="Z33" s="201">
        <f t="shared" si="1"/>
        <v>138220095</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88425</v>
      </c>
      <c r="R35" s="202">
        <f t="shared" si="5"/>
        <v>0</v>
      </c>
      <c r="S35" s="202">
        <f t="shared" si="5"/>
        <v>0</v>
      </c>
      <c r="T35" s="202">
        <f>SUM(T15:T23)*$AC$7</f>
        <v>0</v>
      </c>
      <c r="U35" s="202">
        <f>SUM(U15:U23)*$AC$7</f>
        <v>0</v>
      </c>
      <c r="V35" s="202">
        <f t="shared" si="5"/>
        <v>0</v>
      </c>
      <c r="W35" s="202">
        <f t="shared" si="5"/>
        <v>0</v>
      </c>
      <c r="X35" s="202">
        <f t="shared" si="5"/>
        <v>88425</v>
      </c>
      <c r="Y35" s="202">
        <f t="shared" si="5"/>
        <v>0</v>
      </c>
      <c r="Z35" s="202">
        <f t="shared" si="5"/>
        <v>88425</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88425</v>
      </c>
      <c r="R36" s="202">
        <f t="shared" si="7"/>
        <v>0</v>
      </c>
      <c r="S36" s="202">
        <f t="shared" si="7"/>
        <v>0</v>
      </c>
      <c r="T36" s="202">
        <f>(T14+T35)*$AC$7</f>
        <v>0</v>
      </c>
      <c r="U36" s="202">
        <f>(U14+U35)*$AC$7</f>
        <v>0</v>
      </c>
      <c r="V36" s="202">
        <f t="shared" si="7"/>
        <v>0</v>
      </c>
      <c r="W36" s="202">
        <f t="shared" si="7"/>
        <v>6341662</v>
      </c>
      <c r="X36" s="202">
        <f t="shared" si="7"/>
        <v>6430087</v>
      </c>
      <c r="Y36" s="202">
        <f t="shared" si="7"/>
        <v>0</v>
      </c>
      <c r="Z36" s="202">
        <f t="shared" si="7"/>
        <v>6430087</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-1846095</v>
      </c>
      <c r="W37" s="201">
        <f t="shared" si="9"/>
        <v>0</v>
      </c>
      <c r="X37" s="201">
        <f t="shared" si="9"/>
        <v>-1846095</v>
      </c>
      <c r="Y37" s="201">
        <f t="shared" si="9"/>
        <v>0</v>
      </c>
      <c r="Z37" s="201">
        <f t="shared" si="9"/>
        <v>-1846095</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v>111546200</v>
      </c>
      <c r="J39" s="21"/>
      <c r="K39" s="21"/>
      <c r="L39" s="21"/>
      <c r="M39" s="21"/>
      <c r="N39" s="21"/>
      <c r="O39" s="21"/>
      <c r="P39" s="21"/>
      <c r="Q39" s="21">
        <v>496239</v>
      </c>
      <c r="R39" s="21"/>
      <c r="S39" s="21"/>
      <c r="T39" s="21"/>
      <c r="U39" s="21"/>
      <c r="V39" s="21">
        <v>19835994</v>
      </c>
      <c r="W39" s="21">
        <v>6341662</v>
      </c>
      <c r="X39" s="202">
        <f aca="true" t="shared" si="10" ref="X39:X62">SUM(I39:L39)-M39+SUM(N39:W39)</f>
        <v>138220095</v>
      </c>
      <c r="Y39" s="21"/>
      <c r="Z39" s="202">
        <f t="shared" si="1"/>
        <v>138220095</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111546200</v>
      </c>
      <c r="J42" s="202">
        <f t="shared" si="11"/>
        <v>0</v>
      </c>
      <c r="K42" s="202">
        <f t="shared" si="11"/>
        <v>0</v>
      </c>
      <c r="L42" s="202">
        <f t="shared" si="11"/>
        <v>0</v>
      </c>
      <c r="M42" s="202">
        <f t="shared" si="11"/>
        <v>0</v>
      </c>
      <c r="N42" s="202">
        <f t="shared" si="11"/>
        <v>0</v>
      </c>
      <c r="O42" s="202">
        <f t="shared" si="11"/>
        <v>0</v>
      </c>
      <c r="P42" s="202">
        <f t="shared" si="11"/>
        <v>0</v>
      </c>
      <c r="Q42" s="202">
        <f t="shared" si="11"/>
        <v>496239</v>
      </c>
      <c r="R42" s="202">
        <f t="shared" si="11"/>
        <v>0</v>
      </c>
      <c r="S42" s="202">
        <f t="shared" si="11"/>
        <v>0</v>
      </c>
      <c r="T42" s="202">
        <f>SUM(T39:T41)</f>
        <v>0</v>
      </c>
      <c r="U42" s="202">
        <f>SUM(U39:U41)</f>
        <v>0</v>
      </c>
      <c r="V42" s="202">
        <f t="shared" si="11"/>
        <v>19835994</v>
      </c>
      <c r="W42" s="202">
        <f t="shared" si="11"/>
        <v>6341662</v>
      </c>
      <c r="X42" s="202">
        <f t="shared" si="10"/>
        <v>138220095</v>
      </c>
      <c r="Y42" s="202">
        <f>SUM(Y39:Y41)</f>
        <v>0</v>
      </c>
      <c r="Z42" s="202">
        <f>Y42+X42</f>
        <v>138220095</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v>-8356</v>
      </c>
      <c r="R46" s="212"/>
      <c r="S46" s="212"/>
      <c r="T46" s="212"/>
      <c r="U46" s="212"/>
      <c r="V46" s="21"/>
      <c r="W46" s="21">
        <v>8007577</v>
      </c>
      <c r="X46" s="202">
        <f t="shared" si="10"/>
        <v>7999221</v>
      </c>
      <c r="Y46" s="21"/>
      <c r="Z46" s="202">
        <f t="shared" si="1"/>
        <v>7999221</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v>161722</v>
      </c>
      <c r="R50" s="21"/>
      <c r="S50" s="21"/>
      <c r="T50" s="21"/>
      <c r="U50" s="21"/>
      <c r="V50" s="21"/>
      <c r="W50" s="21"/>
      <c r="X50" s="202">
        <f t="shared" si="10"/>
        <v>161722</v>
      </c>
      <c r="Y50" s="21"/>
      <c r="Z50" s="202">
        <f t="shared" si="1"/>
        <v>161722</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v>-3804997</v>
      </c>
      <c r="X58" s="202">
        <f t="shared" si="10"/>
        <v>-3804997</v>
      </c>
      <c r="Y58" s="21"/>
      <c r="Z58" s="202">
        <f t="shared" si="1"/>
        <v>-3804997</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v>-1734119</v>
      </c>
      <c r="W59" s="21"/>
      <c r="X59" s="202">
        <f t="shared" si="10"/>
        <v>-1734119</v>
      </c>
      <c r="Y59" s="21"/>
      <c r="Z59" s="202">
        <f t="shared" si="1"/>
        <v>-1734119</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v>2536665</v>
      </c>
      <c r="W60" s="21">
        <v>-2536665</v>
      </c>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v>0</v>
      </c>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111546200</v>
      </c>
      <c r="J62" s="201">
        <f t="shared" si="12"/>
        <v>0</v>
      </c>
      <c r="K62" s="201">
        <f t="shared" si="12"/>
        <v>0</v>
      </c>
      <c r="L62" s="201">
        <f t="shared" si="12"/>
        <v>0</v>
      </c>
      <c r="M62" s="201">
        <f t="shared" si="12"/>
        <v>0</v>
      </c>
      <c r="N62" s="201">
        <f t="shared" si="12"/>
        <v>0</v>
      </c>
      <c r="O62" s="201">
        <f t="shared" si="12"/>
        <v>0</v>
      </c>
      <c r="P62" s="201">
        <f t="shared" si="12"/>
        <v>0</v>
      </c>
      <c r="Q62" s="201">
        <f t="shared" si="12"/>
        <v>649605</v>
      </c>
      <c r="R62" s="201">
        <f t="shared" si="12"/>
        <v>0</v>
      </c>
      <c r="S62" s="201">
        <f t="shared" si="12"/>
        <v>0</v>
      </c>
      <c r="T62" s="201">
        <f>SUM(T42:T61)</f>
        <v>0</v>
      </c>
      <c r="U62" s="201">
        <f>SUM(U42:U61)</f>
        <v>0</v>
      </c>
      <c r="V62" s="201">
        <f t="shared" si="12"/>
        <v>20638540</v>
      </c>
      <c r="W62" s="201">
        <f t="shared" si="12"/>
        <v>8007577</v>
      </c>
      <c r="X62" s="201">
        <f t="shared" si="10"/>
        <v>140841922</v>
      </c>
      <c r="Y62" s="201">
        <f>SUM(Y42:Y61)</f>
        <v>0</v>
      </c>
      <c r="Z62" s="201">
        <f t="shared" si="1"/>
        <v>140841922</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153366</v>
      </c>
      <c r="R64" s="202">
        <f t="shared" si="14"/>
        <v>0</v>
      </c>
      <c r="S64" s="202">
        <f t="shared" si="14"/>
        <v>0</v>
      </c>
      <c r="T64" s="202">
        <f>SUM(T44:T52)*$AC$7</f>
        <v>0</v>
      </c>
      <c r="U64" s="202">
        <f>SUM(U44:U52)*$AC$7</f>
        <v>0</v>
      </c>
      <c r="V64" s="202">
        <f t="shared" si="14"/>
        <v>0</v>
      </c>
      <c r="W64" s="202">
        <f t="shared" si="14"/>
        <v>8007577</v>
      </c>
      <c r="X64" s="202">
        <f t="shared" si="14"/>
        <v>8160943</v>
      </c>
      <c r="Y64" s="202">
        <f t="shared" si="14"/>
        <v>0</v>
      </c>
      <c r="Z64" s="202">
        <f t="shared" si="14"/>
        <v>8160943</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153366</v>
      </c>
      <c r="R65" s="202">
        <f t="shared" si="16"/>
        <v>0</v>
      </c>
      <c r="S65" s="202">
        <f t="shared" si="16"/>
        <v>0</v>
      </c>
      <c r="T65" s="202">
        <f>(T43+T64)*$AC$7</f>
        <v>0</v>
      </c>
      <c r="U65" s="202">
        <f>(U43+U64)*$AC$7</f>
        <v>0</v>
      </c>
      <c r="V65" s="202">
        <f t="shared" si="16"/>
        <v>0</v>
      </c>
      <c r="W65" s="202">
        <f t="shared" si="16"/>
        <v>8007577</v>
      </c>
      <c r="X65" s="202">
        <f t="shared" si="16"/>
        <v>8160943</v>
      </c>
      <c r="Y65" s="202">
        <f t="shared" si="16"/>
        <v>0</v>
      </c>
      <c r="Z65" s="202">
        <f t="shared" si="16"/>
        <v>8160943</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802546</v>
      </c>
      <c r="W66" s="201">
        <f t="shared" si="18"/>
        <v>-6341662</v>
      </c>
      <c r="X66" s="201">
        <f t="shared" si="18"/>
        <v>-5539116</v>
      </c>
      <c r="Y66" s="201">
        <f t="shared" si="18"/>
        <v>0</v>
      </c>
      <c r="Z66" s="201">
        <f t="shared" si="18"/>
        <v>-5539116</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1" fitToWidth="1" horizontalDpi="600" verticalDpi="600" orientation="landscape" paperSize="9" scale="38"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Anja Milardović</cp:lastModifiedBy>
  <cp:lastPrinted>2023-04-17T06:43:26Z</cp:lastPrinted>
  <dcterms:created xsi:type="dcterms:W3CDTF">2008-10-17T11:51:54Z</dcterms:created>
  <dcterms:modified xsi:type="dcterms:W3CDTF">2023-06-19T09:10:00Z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